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wokingham-my.sharepoint.com/personal/louise_aparo_wokingham_gov_uk/Documents/DM/Full Minor/Adjecent to Highfeild Park/260735 - Highfeild Park/"/>
    </mc:Choice>
  </mc:AlternateContent>
  <xr:revisionPtr revIDLastSave="0" documentId="8_{8117518C-EB37-4A63-8A1D-D9EEAC7F0CD3}"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7340" yWindow="-14510" windowWidth="34620" windowHeight="1390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<sst xmlns="http://schemas.openxmlformats.org/spreadsheetml/2006/main" count="3165" uniqueCount="1065">
  <si>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</si>
  <si>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</si>
  <si>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</si>
  <si>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</si>
  <si>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</si>
  <si>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</si>
  <si>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</si>
  <si>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</si>
  <si>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</si>
  <si>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</si>
  <si>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</si>
  <si>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</si>
  <si>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</si>
  <si>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</si>
  <si>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</si>
  <si>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</si>
  <si>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</si>
  <si>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</si>
  <si>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</si>
  <si>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</si>
  <si>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</si>
  <si>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</si>
  <si>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</si>
  <si>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</si>
  <si>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</si>
  <si>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</si>
  <si>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</si>
  <si>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</si>
  <si>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</si>
  <si>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</si>
  <si>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</si>
  <si>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</si>
  <si>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</si>
  <si>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</si>
  <si>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</si>
  <si>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</si>
  <si>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</si>
  <si>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</si>
  <si>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</si>
  <si>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</si>
  <si>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</si>
  <si>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</si>
  <si>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</si>
  <si>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</si>
  <si>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</si>
  <si>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</si>
  <si>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</si>
  <si>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</si>
  <si>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</si>
  <si>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</si>
  <si>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</si>
  <si>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</si>
  <si>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</si>
  <si>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</si>
  <si>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</si>
  <si>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</si>
  <si>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</si>
  <si>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</si>
  <si>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</si>
  <si>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</si>
  <si>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</si>
  <si>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</si>
  <si>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</si>
  <si>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</si>
  <si>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</si>
  <si>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</si>
  <si>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</si>
  <si>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</si>
  <si>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</si>
  <si>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</si>
  <si>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</si>
  <si>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</si>
  <si>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</si>
  <si>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</si>
  <si>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</si>
  <si>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</si>
  <si>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</si>
  <si>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</si>
  <si>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</si>
  <si>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</si>
  <si>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</si>
  <si>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</si>
  <si>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</si>
  <si>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</si>
  <si>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</si>
  <si>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</si>
  <si>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</si>
  <si>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</si>
  <si>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</si>
  <si>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</si>
  <si>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</si>
  <si>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</si>
  <si>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</si>
  <si>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</si>
  <si>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</si>
  <si>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</si>
  <si>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</si>
  <si>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</si>
  <si>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</si>
  <si>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</si>
  <si>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</si>
  <si>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</si>
  <si>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</si>
  <si>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</si>
  <si>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</si>
  <si>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</si>
  <si>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</si>
  <si>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</si>
  <si>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</si>
  <si>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</si>
  <si>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</si>
  <si>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</si>
  <si>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</si>
  <si>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</si>
  <si>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</si>
  <si>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</si>
  <si>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</si>
  <si>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</si>
  <si>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</si>
  <si>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</si>
  <si>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</si>
  <si>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</si>
  <si>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</si>
  <si>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</si>
  <si>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</si>
  <si>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</si>
  <si>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</si>
  <si>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</si>
  <si>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</si>
  <si>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</si>
  <si>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</si>
  <si>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</si>
  <si>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</si>
  <si>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</si>
  <si>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</si>
  <si>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</si>
  <si>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</si>
  <si>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</si>
  <si>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</si>
  <si>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</si>
  <si>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</si>
  <si>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</si>
  <si>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</si>
  <si>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</si>
  <si>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</si>
  <si>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</si>
  <si>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</si>
  <si>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</si>
  <si>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</si>
  <si>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</si>
  <si>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</si>
  <si>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</si>
  <si>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</si>
  <si>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</si>
  <si>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</si>
  <si>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</si>
  <si>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</si>
  <si>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</si>
  <si>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</si>
  <si>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</si>
  <si>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</si>
  <si>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</si>
  <si>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</si>
  <si>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</si>
  <si>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</si>
  <si>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</si>
  <si>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</si>
  <si>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</si>
  <si>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</si>
  <si>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</si>
  <si>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</si>
  <si>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</si>
  <si>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</si>
  <si>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</si>
  <si>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</si>
  <si>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</si>
  <si>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</si>
  <si>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</si>
  <si>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</si>
  <si>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</si>
  <si>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</si>
  <si>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</si>
  <si>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</si>
  <si>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</si>
  <si>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</si>
  <si>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</si>
  <si>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</si>
  <si>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</si>
  <si>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</si>
  <si>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</si>
  <si>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</si>
  <si>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</si>
  <si>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</si>
  <si>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</si>
  <si>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</si>
  <si>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</si>
  <si>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</si>
  <si>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</si>
  <si>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</si>
  <si>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</si>
  <si>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</si>
  <si>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</si>
  <si>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</si>
  <si>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</si>
  <si>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</si>
  <si>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</si>
  <si>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</si>
  <si>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</si>
  <si>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</si>
  <si>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</si>
  <si>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</si>
  <si>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</si>
  <si>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</si>
  <si>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</si>
  <si>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</si>
  <si>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</si>
  <si>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</si>
  <si>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</si>
  <si>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</si>
  <si>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</si>
  <si>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</si>
  <si>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</si>
  <si>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</si>
  <si>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</si>
  <si>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</si>
  <si>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</si>
  <si>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</si>
  <si>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</si>
  <si>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</si>
  <si>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</si>
  <si>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</si>
  <si>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</si>
  <si>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</si>
  <si>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</si>
  <si>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</si>
  <si>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</si>
  <si>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</si>
  <si>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</si>
  <si>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</si>
  <si>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</si>
  <si>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</si>
  <si>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</si>
  <si>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</si>
  <si>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</si>
  <si>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</si>
  <si>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</si>
  <si>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</si>
  <si>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</si>
  <si>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</si>
  <si>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</si>
  <si>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</si>
  <si>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</si>
  <si>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</si>
  <si>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</si>
  <si>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</si>
  <si>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</si>
  <si>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</si>
  <si>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</si>
  <si>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</si>
  <si>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</si>
  <si>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</si>
  <si>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</si>
  <si>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</si>
  <si>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</si>
  <si>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</si>
  <si>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</si>
  <si>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</si>
  <si>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</si>
  <si>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</si>
  <si>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</si>
  <si>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</si>
  <si>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</si>
  <si>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</si>
  <si>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</si>
  <si>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</si>
  <si>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</si>
  <si>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</si>
  <si>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</si>
  <si>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</si>
  <si>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</si>
  <si>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</si>
  <si>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</si>
  <si>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</si>
  <si>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</si>
  <si>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</si>
  <si>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</si>
  <si>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</si>
  <si>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</si>
  <si>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</si>
  <si>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</si>
  <si>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</si>
  <si>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</si>
  <si>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</si>
  <si>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</si>
  <si>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</si>
  <si>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</si>
  <si>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</si>
  <si>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</si>
  <si>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</si>
  <si>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</si>
  <si>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</si>
  <si>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</si>
  <si>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</si>
  <si>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</si>
  <si>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</si>
  <si>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</si>
  <si>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</si>
  <si>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</si>
  <si>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</si>
  <si>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</si>
  <si>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</si>
  <si>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</si>
  <si>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</si>
  <si>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</si>
  <si>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</si>
  <si>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</si>
  <si>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</si>
  <si>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</si>
  <si>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</si>
  <si>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</si>
  <si>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</si>
  <si>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</si>
  <si>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</si>
  <si>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</si>
  <si>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</si>
  <si>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</si>
  <si>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</si>
  <si>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</si>
  <si>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</si>
  <si>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</si>
  <si>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</si>
  <si>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</si>
  <si>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</si>
  <si>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</si>
  <si>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</si>
  <si>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</si>
  <si>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</si>
  <si>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</si>
  <si>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</si>
  <si>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</si>
  <si>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</si>
  <si>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</si>
  <si>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</si>
  <si>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</si>
  <si>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</si>
  <si>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</si>
  <si>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</si>
  <si>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</si>
  <si>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</si>
  <si>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</si>
  <si>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</si>
  <si>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</si>
  <si>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</si>
  <si>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</si>
  <si>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</si>
  <si>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</si>
  <si>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</si>
  <si>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</si>
  <si>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</si>
  <si>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</si>
  <si>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</si>
  <si>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</si>
  <si>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</si>
  <si>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</si>
  <si>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</si>
  <si>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</si>
  <si>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</si>
  <si>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</si>
  <si>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</si>
  <si>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</si>
  <si>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</si>
  <si>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</si>
  <si>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</si>
  <si>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</si>
  <si>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</si>
  <si>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</si>
  <si>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</si>
  <si>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</si>
  <si>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</si>
  <si>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</si>
  <si>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</si>
  <si>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</si>
  <si>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</si>
  <si>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</si>
  <si>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</si>
  <si>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</si>
  <si>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</si>
  <si>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</si>
  <si>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</si>
  <si>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</si>
  <si>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</si>
  <si>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</si>
  <si>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</si>
  <si>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</si>
  <si>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</si>
  <si>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</si>
  <si>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</si>
  <si>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</si>
  <si>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</si>
  <si>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</si>
  <si>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</si>
  <si>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</si>
  <si>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</si>
  <si>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</si>
  <si>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</si>
  <si>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</si>
  <si>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</si>
  <si>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</si>
  <si>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</si>
  <si>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</si>
  <si>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</si>
  <si>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</si>
  <si>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</si>
  <si>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</si>
  <si>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</si>
  <si>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</si>
  <si>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</si>
  <si>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</si>
  <si>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</si>
  <si>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</si>
  <si>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</si>
  <si>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</si>
  <si>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</si>
  <si>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</si>
  <si>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</si>
  <si>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</si>
  <si>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</si>
  <si>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</si>
  <si>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</si>
  <si>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</si>
  <si>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</si>
  <si>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</si>
  <si>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</si>
  <si>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</si>
  <si>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</si>
  <si>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</si>
  <si>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</si>
  <si>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</si>
  <si>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</si>
  <si>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</si>
  <si>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</si>
  <si>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</si>
  <si>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</si>
  <si>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</si>
  <si>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</si>
  <si>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</si>
  <si>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</si>
  <si>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</si>
  <si>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</si>
  <si>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</si>
  <si>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</si>
  <si>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</si>
  <si>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</si>
  <si>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</si>
  <si>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</si>
  <si>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</si>
  <si>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</si>
  <si>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</si>
  <si>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</si>
  <si>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</si>
  <si>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</si>
  <si>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</si>
  <si>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</si>
  <si>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</si>
  <si>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</si>
  <si>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</si>
  <si>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</si>
  <si>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</si>
  <si>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</si>
  <si>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</si>
  <si>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</si>
  <si>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</si>
  <si>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</si>
  <si>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</si>
  <si>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</si>
  <si>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</si>
  <si>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</si>
  <si>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</si>
  <si>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</si>
  <si>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</si>
  <si>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</si>
  <si>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</si>
  <si>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</si>
  <si>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</si>
  <si>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</si>
  <si>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</si>
  <si>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</si>
  <si>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</si>
  <si>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</si>
  <si>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</si>
  <si>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</si>
  <si>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</si>
  <si>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</si>
  <si>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</si>
  <si>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</si>
  <si>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</si>
  <si>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</si>
  <si>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</si>
  <si>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</si>
  <si>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</si>
  <si>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</si>
  <si>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</si>
  <si>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</si>
  <si>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</si>
  <si>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</si>
  <si>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</si>
  <si>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</si>
  <si>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</si>
  <si>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</si>
  <si>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</si>
  <si>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</si>
  <si>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</si>
  <si>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</si>
  <si>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</si>
  <si>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</si>
  <si>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</si>
  <si>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</si>
  <si>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</si>
  <si>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</si>
  <si>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</si>
  <si>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</si>
  <si>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</si>
  <si>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</si>
  <si>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</si>
  <si>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</si>
  <si>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</si>
  <si>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</si>
  <si>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</si>
  <si>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</si>
  <si>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</si>
  <si>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</si>
  <si>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</si>
  <si>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</si>
  <si>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</si>
  <si>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</si>
  <si>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</si>
  <si>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</si>
  <si>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</si>
  <si>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</si>
  <si>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</si>
  <si>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</si>
  <si>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</si>
  <si>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</si>
  <si>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</si>
  <si>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</si>
  <si>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</si>
  <si>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</si>
  <si>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</si>
  <si>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</si>
  <si>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</si>
  <si>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</si>
  <si>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</si>
  <si>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</si>
  <si>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</si>
  <si>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</si>
  <si>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</si>
  <si>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</si>
  <si>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</si>
  <si>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</si>
  <si>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</si>
  <si>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</si>
  <si>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</si>
  <si>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</si>
  <si>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</si>
  <si>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</si>
  <si>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</si>
  <si>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</si>
  <si>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</si>
  <si>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</si>
  <si>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</si>
  <si>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</si>
  <si>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</si>
  <si>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</si>
  <si>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</si>
  <si>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</si>
  <si>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</si>
  <si>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</si>
  <si>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</si>
  <si>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</si>
  <si>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</si>
  <si>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</si>
  <si>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</si>
  <si>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</si>
  <si>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</si>
  <si>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</si>
  <si>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</si>
  <si>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</si>
  <si>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</si>
  <si>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</si>
  <si>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</si>
  <si>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</si>
  <si>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</si>
  <si>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</si>
  <si>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</si>
  <si>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</si>
  <si>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</si>
  <si>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</si>
  <si>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</si>
  <si>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</si>
  <si>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</si>
  <si>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</si>
  <si>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</si>
  <si>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</si>
  <si>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</si>
  <si>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</si>
  <si>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</si>
  <si>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</si>
  <si>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</si>
  <si>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</si>
  <si>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</si>
  <si>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</si>
  <si>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</si>
  <si>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</si>
  <si>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</si>
  <si>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</si>
  <si>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</si>
  <si>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</si>
  <si>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</si>
  <si>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</si>
  <si>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</si>
  <si>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</si>
  <si>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</si>
  <si>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</si>
  <si>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</si>
  <si>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</si>
  <si>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</si>
  <si>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</si>
  <si>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</si>
  <si>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</si>
  <si>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</si>
  <si>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</si>
  <si>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</si>
  <si>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</si>
  <si>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</si>
  <si>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</si>
  <si>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</si>
  <si>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</si>
  <si>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</si>
  <si>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</si>
  <si>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</si>
  <si>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</si>
  <si>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</si>
  <si>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</si>
  <si>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</si>
  <si>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</si>
  <si>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</si>
  <si>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</si>
  <si>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</si>
  <si>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</si>
  <si>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</si>
  <si>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</si>
  <si>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</si>
  <si>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</si>
  <si>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</si>
  <si>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</si>
  <si>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</si>
  <si>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</si>
  <si>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</si>
  <si>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</si>
  <si>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</si>
  <si>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</si>
  <si>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</si>
  <si>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</si>
  <si>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</si>
  <si>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</si>
  <si>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</si>
  <si>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</si>
  <si>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</si>
  <si>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</si>
  <si>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</si>
  <si>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</si>
  <si>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</si>
  <si>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</si>
  <si>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</si>
  <si>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</si>
  <si>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</si>
  <si>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</si>
  <si>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</si>
  <si>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</si>
  <si>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</si>
  <si>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</si>
  <si>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</si>
  <si>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</si>
  <si>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</si>
  <si>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</si>
  <si>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</si>
  <si>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</si>
  <si>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</si>
  <si>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</si>
  <si>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</si>
  <si>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</si>
  <si>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</si>
  <si>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</si>
  <si>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</si>
  <si>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</si>
  <si>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</si>
  <si>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</si>
  <si>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</si>
  <si>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</si>
  <si>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</si>
  <si>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</si>
  <si>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</si>
  <si>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</si>
  <si>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</si>
  <si>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</si>
  <si>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</si>
  <si>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</si>
  <si>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</si>
  <si>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</si>
  <si>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</si>
  <si>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</si>
  <si>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</si>
  <si>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</si>
  <si>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</si>
  <si>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</si>
  <si>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</si>
  <si>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</si>
  <si>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</si>
  <si>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</si>
  <si>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</si>
  <si>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</si>
  <si>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</si>
  <si>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</si>
  <si>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</si>
  <si>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</si>
  <si>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</si>
  <si>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</si>
  <si>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</si>
  <si>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</si>
  <si>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</si>
  <si>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</si>
  <si>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</si>
  <si>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</si>
  <si>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</si>
  <si>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</si>
  <si>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</si>
  <si>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</si>
  <si>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</si>
  <si>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</si>
  <si>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</si>
  <si>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</si>
  <si>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</si>
  <si>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</si>
  <si>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</si>
  <si>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</si>
  <si>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</si>
  <si>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</si>
  <si>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</si>
  <si>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</si>
  <si>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</si>
  <si>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</si>
  <si>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</si>
  <si>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</si>
  <si>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</si>
  <si>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</si>
  <si>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</si>
  <si>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</si>
  <si>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</si>
  <si>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</si>
  <si>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</si>
  <si>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</si>
  <si>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</si>
  <si>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</si>
  <si>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</si>
  <si>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</si>
  <si>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</si>
  <si>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</si>
  <si>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</si>
  <si>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</si>
  <si>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</si>
  <si>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</si>
  <si>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</si>
  <si>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</si>
  <si>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</si>
  <si>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</si>
  <si>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</si>
  <si>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</si>
  <si>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</si>
  <si>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</si>
  <si>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</si>
  <si>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</si>
  <si>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</si>
  <si>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</si>
  <si>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</si>
  <si>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</si>
  <si>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</si>
  <si>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</si>
  <si>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</si>
  <si>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</si>
  <si>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</si>
  <si>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</si>
  <si>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</si>
  <si>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</si>
  <si>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</si>
  <si>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</si>
  <si>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</si>
  <si>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</si>
  <si>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</si>
  <si>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</si>
  <si>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</si>
  <si>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</si>
  <si>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</si>
  <si>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</si>
  <si>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</si>
  <si>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</si>
  <si>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</si>
  <si>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</si>
  <si>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</si>
  <si>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</si>
  <si>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</si>
  <si>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</si>
  <si>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</si>
  <si>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</si>
  <si>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</si>
  <si>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</si>
  <si>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</si>
  <si>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</si>
  <si>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</si>
  <si>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</si>
  <si>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</si>
  <si>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</si>
  <si>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</si>
  <si>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</si>
  <si>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</si>
  <si>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</si>
  <si>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</si>
  <si>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</si>
  <si>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</si>
  <si>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</si>
  <si>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</si>
  <si>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</si>
  <si>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</si>
  <si>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</si>
  <si>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</si>
  <si>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</si>
  <si>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</si>
  <si>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</si>
  <si>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</si>
  <si>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</si>
  <si>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</si>
  <si>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</si>
  <si>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</si>
  <si>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</si>
  <si>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</si>
  <si>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</si>
  <si>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</si>
  <si>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</si>
  <si>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</si>
  <si>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</si>
  <si>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</si>
  <si>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</si>
  <si>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</si>
  <si>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</si>
  <si>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</si>
  <si>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</si>
  <si>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</si>
  <si>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</si>
  <si>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</si>
  <si>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</si>
  <si>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</si>
  <si>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</si>
  <si>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</si>
  <si>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</si>
  <si>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</si>
  <si>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</si>
  <si>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</si>
  <si>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</si>
  <si>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</si>
  <si>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</si>
  <si>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</si>
  <si>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</si>
  <si>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</si>
  <si>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</si>
  <si>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</si>
  <si>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</si>
  <si>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</si>
  <si>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</si>
  <si>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</si>
  <si>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</si>
  <si>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</si>
  <si>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</si>
  <si>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</si>
  <si>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</si>
  <si>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</si>
  <si>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</si>
  <si>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</si>
  <si>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</si>
  <si>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</si>
  <si>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</si>
  <si>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</si>
  <si>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</si>
  <si>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</si>
  <si>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</si>
  <si>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</si>
  <si>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</si>
  <si>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</si>
  <si>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</si>
  <si>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</si>
  <si>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</si>
  <si>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</si>
  <si>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</si>
  <si>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</si>
  <si>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</si>
  <si>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</si>
  <si>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</si>
  <si>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</si>
  <si>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</si>
  <si>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</si>
  <si>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</si>
  <si>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</si>
  <si>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</si>
  <si>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</si>
  <si>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</si>
  <si>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</si>
  <si>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</si>
  <si>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</si>
  <si>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</si>
  <si>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</si>
  <si>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</si>
  <si>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</si>
  <si>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</si>
  <si>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</si>
  <si>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</si>
  <si>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</si>
  <si>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</si>
  <si>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</si>
  <si>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</si>
  <si>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</si>
  <si>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</si>
  <si>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</si>
  <si>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</si>
  <si>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</si>
  <si>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</si>
  <si>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</si>
  <si>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</si>
  <si>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</si>
  <si>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</si>
  <si>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</si>
  <si>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</si>
  <si>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</si>
  <si>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</si>
  <si>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</si>
  <si>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</si>
  <si>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</si>
  <si>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</si>
  <si>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</si>
  <si>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</si>
  <si>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</si>
  <si>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</si>
  <si>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</si>
  <si>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</si>
  <si>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</si>
  <si>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</si>
  <si>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</si>
  <si>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</si>
  <si>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</si>
  <si>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</si>
  <si>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</si>
  <si>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</si>
  <si>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</si>
  <si>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</si>
  <si>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</si>
  <si>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</si>
  <si>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</si>
  <si>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</si>
  <si>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</si>
  <si>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</si>
  <si>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</si>
  <si>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</si>
  <si>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</si>
  <si>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</si>
  <si>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</si>
  <si>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</si>
  <si>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</si>
  <si>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</si>
  <si>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</si>
  <si>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</si>
  <si>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</si>
  <si>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</si>
  <si>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</si>
  <si>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</si>
  <si>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</si>
  <si>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</si>
  <si>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</si>
  <si>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</si>
  <si>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</si>
  <si>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</si>
  <si>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</si>
  <si>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</si>
  <si>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</si>
  <si>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</si>
  <si>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</si>
  <si>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</si>
  <si>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</si>
  <si>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</si>
  <si>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</si>
  <si>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</si>
  <si>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</si>
  <si>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</si>
  <si>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</si>
  <si>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</si>
  <si>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</si>
  <si>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</si>
  <si>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</si>
  <si>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</si>
  <si>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</si>
  <si>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</si>
  <si>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</si>
  <si>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</si>
  <si>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</si>
  <si>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</si>
  <si>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</si>
  <si>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</si>
  <si>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</si>
  <si>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</si>
  <si>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</si>
  <si>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</si>
  <si>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</si>
  <si>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</si>
  <si>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</si>
  <si>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</si>
  <si>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</si>
  <si>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</si>
  <si>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</si>
  <si>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</si>
  <si>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</si>
  <si>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</si>
  <si>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</si>
  <si>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</si>
  <si>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</si>
  <si>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</si>
  <si>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</si>
  <si>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</si>
  <si>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</si>
  <si>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</si>
  <si>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</si>
  <si>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</si>
  <si>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</si>
  <si>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</si>
  <si>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</si>
  <si>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</si>
  <si>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</si>
  <si>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</si>
  <si>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</si>
  <si>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</si>
  <si>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</si>
  <si>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</si>
  <si>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</si>
  <si>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</si>
  <si>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</si>
  <si>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</si>
  <si>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</si>
  <si>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</si>
  <si>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</si>
  <si>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</si>
  <si>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</si>
  <si>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</si>
  <si>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</si>
  <si>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</si>
  <si>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</si>
  <si>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</si>
  <si>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</si>
  <si>
    <t>Disagree - does not align with habiats that are present on site based on LPA site visit 24th March 2026</t>
  </si>
  <si>
    <t>Louise Aparo</t>
  </si>
  <si>
    <t xml:space="preserve">Disagree - do not agree with the habitat classification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</si>
</sst>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0.24</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0.57613549161599997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9" zoomScale="80" zoomScaleNormal="80" workbookViewId="0"/>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5"/>
      <c r="B1" s="25"/>
      <c r="C1" s="25"/>
      <c r="D1" s="606"/>
      <c r="E1" s="606"/>
      <c r="F1" s="606"/>
      <c r="G1" s="606"/>
      <c r="H1" s="606"/>
      <c r="I1" s="606"/>
      <c r="J1" s="606"/>
      <c r="K1" s="25"/>
      <c r="L1" s="25"/>
      <c r="M1" s="25"/>
      <c r="N1" s="25"/>
      <c r="O1" s="25"/>
      <c r="P1" s="25"/>
      <c r="Q1" s="25"/>
      <c r="R1" s="25"/>
      <c r="S1" s="25"/>
      <c r="T1" s="25"/>
      <c r="U1" s="25"/>
      <c r="V1" s="25"/>
      <c r="W1" s="25"/>
      <c r="X1" s="25"/>
      <c r="Y1" s="25"/>
      <c r="Z1" s="25"/>
      <c r="AA1" s="25"/>
      <c r="AB1" s="25"/>
      <c r="AC1" s="25"/>
      <c r="AD1" s="25"/>
    </row>
    <row r="2" spans="1:30">
      <c r="A2" s="25"/>
      <c r="B2" s="25"/>
      <c r="C2" s="25"/>
      <c r="D2" s="606"/>
      <c r="E2" s="606"/>
      <c r="F2" s="606"/>
      <c r="G2" s="606"/>
      <c r="H2" s="606"/>
      <c r="I2" s="606"/>
      <c r="J2" s="606"/>
      <c r="K2" s="25"/>
      <c r="L2" s="25"/>
      <c r="M2" s="25"/>
      <c r="N2" s="25"/>
      <c r="O2" s="25"/>
      <c r="P2" s="25"/>
      <c r="Q2" s="25"/>
      <c r="R2" s="25"/>
      <c r="S2" s="25"/>
      <c r="T2" s="25"/>
      <c r="U2" s="25"/>
      <c r="V2" s="25"/>
      <c r="W2" s="25"/>
      <c r="X2" s="25"/>
      <c r="Y2" s="25"/>
      <c r="Z2" s="25"/>
      <c r="AA2" s="25"/>
      <c r="AB2" s="25"/>
      <c r="AC2" s="25"/>
      <c r="AD2" s="25"/>
    </row>
    <row r="3" spans="1:30">
      <c r="A3" s="25"/>
      <c r="B3" s="25"/>
      <c r="C3" s="25"/>
      <c r="D3" s="606"/>
      <c r="E3" s="606"/>
      <c r="F3" s="606"/>
      <c r="G3" s="606"/>
      <c r="H3" s="606"/>
      <c r="I3" s="606"/>
      <c r="J3" s="606"/>
      <c r="K3" s="25"/>
      <c r="L3" s="25"/>
      <c r="M3" s="25"/>
      <c r="N3" s="25"/>
      <c r="O3" s="25"/>
      <c r="P3" s="25"/>
      <c r="Q3" s="25"/>
      <c r="R3" s="25"/>
      <c r="S3" s="25"/>
      <c r="T3" s="25"/>
      <c r="U3" s="25"/>
      <c r="V3" s="25"/>
      <c r="W3" s="25"/>
      <c r="X3" s="25"/>
      <c r="Y3" s="25"/>
      <c r="Z3" s="25"/>
      <c r="AA3" s="25"/>
      <c r="AB3" s="25"/>
      <c r="AC3" s="25"/>
      <c r="AD3" s="25"/>
    </row>
    <row r="4" spans="1:30">
      <c r="A4" s="25"/>
      <c r="B4" s="25"/>
      <c r="C4" s="25"/>
      <c r="D4" s="606"/>
      <c r="E4" s="606"/>
      <c r="F4" s="606"/>
      <c r="G4" s="606"/>
      <c r="H4" s="606"/>
      <c r="I4" s="606"/>
      <c r="J4" s="606"/>
      <c r="K4" s="25"/>
      <c r="L4" s="25"/>
      <c r="M4" s="25"/>
      <c r="N4" s="25"/>
      <c r="O4" s="25"/>
      <c r="P4" s="25"/>
      <c r="Q4" s="25"/>
      <c r="R4" s="25"/>
      <c r="S4" s="25"/>
      <c r="T4" s="25"/>
      <c r="U4" s="25"/>
      <c r="V4" s="25"/>
      <c r="W4" s="25"/>
      <c r="X4" s="25"/>
      <c r="Y4" s="25"/>
      <c r="Z4" s="25"/>
      <c r="AA4" s="25"/>
      <c r="AB4" s="25"/>
      <c r="AC4" s="25"/>
      <c r="AD4" s="25"/>
    </row>
    <row r="5" spans="1:30">
      <c r="A5" s="25"/>
      <c r="B5" s="25"/>
      <c r="C5" s="25"/>
      <c r="D5" s="606"/>
      <c r="E5" s="606"/>
      <c r="F5" s="606"/>
      <c r="G5" s="606"/>
      <c r="H5" s="606"/>
      <c r="I5" s="606"/>
      <c r="J5" s="606"/>
      <c r="K5" s="25"/>
      <c r="L5" s="25"/>
      <c r="M5" s="25"/>
      <c r="N5" s="25"/>
      <c r="O5" s="25"/>
      <c r="P5" s="25"/>
      <c r="Q5" s="25"/>
      <c r="R5" s="25"/>
      <c r="S5" s="25"/>
      <c r="T5" s="25"/>
      <c r="U5" s="25"/>
      <c r="V5" s="25"/>
      <c r="W5" s="25"/>
      <c r="X5" s="25"/>
      <c r="Y5" s="25"/>
      <c r="Z5" s="25"/>
      <c r="AA5" s="25"/>
      <c r="AB5" s="25"/>
      <c r="AC5" s="25"/>
      <c r="AD5" s="25"/>
    </row>
    <row r="6" spans="1:30">
      <c r="A6" s="157" t="s">
        <v>0</v>
      </c>
      <c r="B6" s="608" t="s">
        <v>1027</v>
      </c>
      <c r="C6" s="609"/>
      <c r="D6" s="609"/>
      <c r="E6" s="609"/>
      <c r="F6" s="609"/>
      <c r="G6" s="609"/>
      <c r="H6" s="609"/>
      <c r="I6" s="609"/>
      <c r="J6" s="609"/>
      <c r="K6" s="25"/>
      <c r="L6" s="25"/>
      <c r="M6" s="25"/>
      <c r="N6" s="25"/>
      <c r="O6" s="25"/>
      <c r="P6" s="25"/>
      <c r="Q6" s="25"/>
      <c r="R6" s="25"/>
      <c r="S6" s="25"/>
      <c r="T6" s="25"/>
      <c r="U6" s="25"/>
      <c r="V6" s="25"/>
      <c r="W6" s="25"/>
      <c r="X6" s="25"/>
      <c r="Y6" s="25"/>
      <c r="Z6" s="25"/>
      <c r="AA6" s="25"/>
      <c r="AB6" s="25"/>
      <c r="AC6" s="25"/>
      <c r="AD6" s="25"/>
    </row>
    <row r="7" spans="1:30">
      <c r="A7" s="25"/>
      <c r="B7" s="609"/>
      <c r="C7" s="609"/>
      <c r="D7" s="609"/>
      <c r="E7" s="609"/>
      <c r="F7" s="609"/>
      <c r="G7" s="609"/>
      <c r="H7" s="609"/>
      <c r="I7" s="609"/>
      <c r="J7" s="609"/>
      <c r="K7" s="25"/>
      <c r="L7" s="25"/>
      <c r="M7" s="25"/>
      <c r="N7" s="25"/>
      <c r="O7" s="25"/>
      <c r="P7" s="25"/>
      <c r="Q7" s="25"/>
      <c r="R7" s="25"/>
      <c r="S7" s="25"/>
      <c r="T7" s="25"/>
      <c r="U7" s="25"/>
      <c r="V7" s="25"/>
      <c r="W7" s="25"/>
      <c r="X7" s="25"/>
      <c r="Y7" s="25"/>
      <c r="Z7" s="25"/>
      <c r="AA7" s="25"/>
      <c r="AB7" s="25"/>
      <c r="AC7" s="25"/>
      <c r="AD7" s="25"/>
    </row>
    <row r="8" spans="1:30" ht="28.5" customHeight="1">
      <c r="A8" s="25"/>
      <c r="B8" s="609"/>
      <c r="C8" s="609"/>
      <c r="D8" s="609"/>
      <c r="E8" s="609"/>
      <c r="F8" s="609"/>
      <c r="G8" s="609"/>
      <c r="H8" s="609"/>
      <c r="I8" s="609"/>
      <c r="J8" s="609"/>
      <c r="K8" s="25"/>
      <c r="L8" s="25"/>
      <c r="M8" s="25"/>
      <c r="N8" s="25"/>
      <c r="O8" s="25"/>
      <c r="P8" s="25"/>
      <c r="Q8" s="25"/>
      <c r="R8" s="25"/>
      <c r="S8" s="25"/>
      <c r="T8" s="25"/>
      <c r="U8" s="25"/>
      <c r="V8" s="25"/>
      <c r="W8" s="25"/>
      <c r="X8" s="25"/>
      <c r="Y8" s="25"/>
      <c r="Z8" s="25"/>
      <c r="AA8" s="25"/>
      <c r="AB8" s="25"/>
      <c r="AC8" s="25"/>
      <c r="AD8" s="25"/>
    </row>
    <row r="9" spans="1:30" ht="14.4" customHeight="1">
      <c r="A9" s="25"/>
      <c r="B9" s="610"/>
      <c r="C9" s="610"/>
      <c r="D9" s="610"/>
      <c r="E9" s="610"/>
      <c r="F9" s="610"/>
      <c r="G9" s="610"/>
      <c r="H9" s="610"/>
      <c r="I9" s="610"/>
      <c r="J9" s="610"/>
      <c r="K9" s="25"/>
      <c r="L9" s="25"/>
      <c r="M9" s="25"/>
      <c r="N9" s="25"/>
      <c r="O9" s="25"/>
      <c r="P9" s="25"/>
      <c r="Q9" s="25"/>
      <c r="R9" s="25"/>
      <c r="S9" s="25"/>
      <c r="T9" s="25"/>
      <c r="U9" s="25"/>
      <c r="V9" s="25"/>
      <c r="W9" s="25"/>
      <c r="X9" s="25"/>
      <c r="Y9" s="25"/>
      <c r="Z9" s="25"/>
      <c r="AA9" s="25"/>
      <c r="AB9" s="25"/>
      <c r="AC9" s="25"/>
      <c r="AD9" s="25"/>
    </row>
    <row r="10" spans="1:30" ht="20.399999999999999" customHeight="1">
      <c r="A10" s="25"/>
      <c r="B10" s="610"/>
      <c r="C10" s="610"/>
      <c r="D10" s="610"/>
      <c r="E10" s="610"/>
      <c r="F10" s="610"/>
      <c r="G10" s="610"/>
      <c r="H10" s="610"/>
      <c r="I10" s="610"/>
      <c r="J10" s="610"/>
      <c r="K10" s="25"/>
      <c r="L10" s="25"/>
      <c r="M10" s="25"/>
      <c r="N10" s="25"/>
      <c r="O10" s="25"/>
      <c r="P10" s="25"/>
      <c r="Q10" s="25"/>
      <c r="R10" s="25"/>
      <c r="S10" s="25"/>
      <c r="T10" s="25"/>
      <c r="U10" s="25"/>
      <c r="V10" s="25"/>
      <c r="W10" s="25"/>
      <c r="X10" s="25"/>
      <c r="Y10" s="25"/>
      <c r="Z10" s="25"/>
      <c r="AA10" s="25"/>
      <c r="AB10" s="25"/>
      <c r="AC10" s="25"/>
      <c r="AD10" s="25"/>
    </row>
    <row r="11" spans="1:30">
      <c r="A11" s="25"/>
      <c r="B11" s="611" t="s">
        <v>1042</v>
      </c>
      <c r="C11" s="611"/>
      <c r="D11" s="611"/>
      <c r="E11" s="611"/>
      <c r="F11" s="603" t="s">
        <v>1050</v>
      </c>
      <c r="G11" s="603"/>
      <c r="H11" s="603"/>
      <c r="I11" s="603"/>
      <c r="J11" s="603"/>
      <c r="K11" s="25"/>
      <c r="L11" s="25"/>
      <c r="M11" s="25"/>
      <c r="N11" s="25"/>
      <c r="O11" s="25"/>
      <c r="P11" s="25"/>
      <c r="Q11" s="25"/>
      <c r="R11" s="25"/>
      <c r="S11" s="25"/>
      <c r="T11" s="25"/>
      <c r="U11" s="25"/>
      <c r="V11" s="25"/>
      <c r="W11" s="25"/>
      <c r="X11" s="25"/>
      <c r="Y11" s="25"/>
      <c r="Z11" s="25"/>
      <c r="AA11" s="25"/>
      <c r="AB11" s="25"/>
      <c r="AC11" s="25"/>
      <c r="AD11" s="25"/>
    </row>
    <row r="12" spans="1:30">
      <c r="A12" s="25"/>
      <c r="B12" s="604"/>
      <c r="C12" s="604"/>
      <c r="D12" s="604"/>
      <c r="E12" s="604"/>
      <c r="F12" s="604"/>
      <c r="G12" s="604"/>
      <c r="H12" s="604"/>
      <c r="I12" s="604"/>
      <c r="J12" s="604"/>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 customHeight="1">
      <c r="A14" s="25"/>
      <c r="B14" s="605"/>
      <c r="C14" s="612"/>
      <c r="D14" s="612"/>
      <c r="E14" s="612"/>
      <c r="F14" s="612"/>
      <c r="G14" s="612"/>
      <c r="H14" s="612"/>
      <c r="I14" s="612"/>
      <c r="J14" s="612"/>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05"/>
      <c r="C15" s="612"/>
      <c r="D15" s="612"/>
      <c r="E15" s="612"/>
      <c r="F15" s="612"/>
      <c r="G15" s="612"/>
      <c r="H15" s="612"/>
      <c r="I15" s="612"/>
      <c r="J15" s="612"/>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07" t="s">
        <v>1</v>
      </c>
      <c r="C17" s="607"/>
      <c r="D17" s="607"/>
      <c r="E17" s="607"/>
      <c r="F17" s="607"/>
      <c r="G17" s="607"/>
      <c r="H17" s="607"/>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 customHeight="1">
      <c r="A19" s="25"/>
      <c r="B19" s="613"/>
      <c r="C19" s="614"/>
      <c r="D19" s="617" t="s">
        <v>2</v>
      </c>
      <c r="E19" s="618"/>
      <c r="F19" s="618"/>
      <c r="G19" s="618"/>
      <c r="H19" s="619"/>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15"/>
      <c r="C20" s="616"/>
      <c r="D20" s="590"/>
      <c r="E20" s="591"/>
      <c r="F20" s="591"/>
      <c r="G20" s="591"/>
      <c r="H20" s="592"/>
      <c r="I20" s="25"/>
      <c r="J20" s="25"/>
      <c r="K20" s="25"/>
      <c r="L20" s="25"/>
      <c r="M20" s="25"/>
      <c r="N20" s="25"/>
      <c r="O20" s="25"/>
      <c r="P20" s="25"/>
      <c r="Q20" s="25"/>
      <c r="R20" s="25"/>
      <c r="S20" s="25"/>
      <c r="T20" s="25"/>
      <c r="U20" s="25"/>
      <c r="V20" s="25"/>
      <c r="W20" s="25"/>
      <c r="X20" s="25"/>
      <c r="Y20" s="25"/>
      <c r="Z20" s="25"/>
      <c r="AA20" s="25"/>
      <c r="AB20" s="25"/>
      <c r="AC20" s="25"/>
      <c r="AD20" s="25"/>
    </row>
    <row r="21" spans="1:30" ht="14.4" customHeight="1">
      <c r="A21" s="25"/>
      <c r="B21" s="583"/>
      <c r="C21" s="584"/>
      <c r="D21" s="587" t="s">
        <v>3</v>
      </c>
      <c r="E21" s="588"/>
      <c r="F21" s="588"/>
      <c r="G21" s="588"/>
      <c r="H21" s="589"/>
      <c r="I21" s="25"/>
      <c r="J21" s="25"/>
      <c r="K21" s="25"/>
      <c r="L21" s="25"/>
      <c r="M21" s="25"/>
      <c r="N21" s="25"/>
      <c r="O21" s="25"/>
      <c r="P21" s="25"/>
      <c r="Q21" s="25"/>
      <c r="R21" s="25"/>
      <c r="S21" s="25"/>
      <c r="T21" s="25"/>
      <c r="U21" s="25"/>
      <c r="V21" s="25"/>
      <c r="W21" s="25"/>
      <c r="X21" s="25"/>
      <c r="Y21" s="25"/>
      <c r="Z21" s="25"/>
      <c r="AA21" s="25"/>
      <c r="AB21" s="25"/>
      <c r="AC21" s="25"/>
      <c r="AD21" s="25"/>
    </row>
    <row r="22" spans="1:30" ht="14.4" customHeight="1">
      <c r="A22" s="25"/>
      <c r="B22" s="585"/>
      <c r="C22" s="586"/>
      <c r="D22" s="590"/>
      <c r="E22" s="591"/>
      <c r="F22" s="591"/>
      <c r="G22" s="591"/>
      <c r="H22" s="592"/>
      <c r="I22" s="25"/>
      <c r="J22" s="25"/>
      <c r="K22" s="25"/>
      <c r="L22" s="25"/>
      <c r="M22" s="25"/>
      <c r="N22" s="25"/>
      <c r="O22" s="25"/>
      <c r="P22" s="25"/>
      <c r="Q22" s="25"/>
      <c r="R22" s="25"/>
      <c r="S22" s="25"/>
      <c r="T22" s="25"/>
      <c r="U22" s="25"/>
      <c r="V22" s="25"/>
      <c r="W22" s="25"/>
      <c r="X22" s="25"/>
      <c r="Y22" s="25"/>
      <c r="Z22" s="25"/>
      <c r="AA22" s="25"/>
      <c r="AB22" s="25"/>
      <c r="AC22" s="25"/>
      <c r="AD22" s="25"/>
    </row>
    <row r="23" spans="1:30" ht="14.4" customHeight="1">
      <c r="A23" s="25"/>
      <c r="B23" s="624"/>
      <c r="C23" s="625"/>
      <c r="D23" s="628" t="s">
        <v>4</v>
      </c>
      <c r="E23" s="629"/>
      <c r="F23" s="629"/>
      <c r="G23" s="629"/>
      <c r="H23" s="630"/>
      <c r="I23" s="25"/>
      <c r="J23" s="25"/>
      <c r="K23" s="25"/>
      <c r="L23" s="25"/>
      <c r="M23" s="25"/>
      <c r="N23" s="25"/>
      <c r="O23" s="25"/>
      <c r="P23" s="25"/>
      <c r="Q23" s="25"/>
      <c r="R23" s="25"/>
      <c r="S23" s="25"/>
      <c r="T23" s="25"/>
      <c r="U23" s="25"/>
      <c r="V23" s="25"/>
      <c r="W23" s="25"/>
      <c r="X23" s="25"/>
      <c r="Y23" s="25"/>
      <c r="Z23" s="25"/>
      <c r="AA23" s="25"/>
      <c r="AB23" s="25"/>
      <c r="AC23" s="25"/>
      <c r="AD23" s="25"/>
    </row>
    <row r="24" spans="1:30" ht="14.4" customHeight="1">
      <c r="A24" s="25"/>
      <c r="B24" s="626"/>
      <c r="C24" s="627"/>
      <c r="D24" s="631"/>
      <c r="E24" s="632"/>
      <c r="F24" s="632"/>
      <c r="G24" s="632"/>
      <c r="H24" s="633"/>
      <c r="I24" s="25"/>
      <c r="J24" s="25"/>
      <c r="K24" s="25"/>
      <c r="L24" s="25"/>
      <c r="M24" s="25"/>
      <c r="N24" s="25"/>
      <c r="O24" s="25"/>
      <c r="P24" s="25"/>
      <c r="Q24" s="25"/>
      <c r="R24" s="25"/>
      <c r="S24" s="25"/>
      <c r="T24" s="25"/>
      <c r="U24" s="25"/>
      <c r="V24" s="25"/>
      <c r="W24" s="25"/>
      <c r="X24" s="25"/>
      <c r="Y24" s="25"/>
      <c r="Z24" s="25"/>
      <c r="AA24" s="25"/>
      <c r="AB24" s="25"/>
      <c r="AC24" s="25"/>
      <c r="AD24" s="25"/>
    </row>
    <row r="25" spans="1:30" ht="27.9" customHeight="1">
      <c r="A25" s="25"/>
      <c r="B25" s="387"/>
      <c r="C25" s="388"/>
      <c r="D25" s="599" t="s">
        <v>5</v>
      </c>
      <c r="E25" s="600"/>
      <c r="F25" s="600"/>
      <c r="G25" s="600"/>
      <c r="H25" s="601"/>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99" t="s">
        <v>6</v>
      </c>
      <c r="E26" s="600"/>
      <c r="F26" s="600"/>
      <c r="G26" s="600"/>
      <c r="H26" s="601"/>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97" t="s">
        <v>7</v>
      </c>
      <c r="C27" s="598"/>
      <c r="D27" s="599" t="s">
        <v>8</v>
      </c>
      <c r="E27" s="600"/>
      <c r="F27" s="600"/>
      <c r="G27" s="600"/>
      <c r="H27" s="601"/>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0" t="s">
        <v>9</v>
      </c>
      <c r="C28" s="621"/>
      <c r="D28" s="622" t="s">
        <v>10</v>
      </c>
      <c r="E28" s="622"/>
      <c r="F28" s="622"/>
      <c r="G28" s="622"/>
      <c r="H28" s="623"/>
      <c r="I28" s="25"/>
      <c r="J28" s="602" t="s">
        <v>11</v>
      </c>
      <c r="K28" s="602"/>
      <c r="L28" s="602"/>
      <c r="M28" s="602"/>
      <c r="N28" s="602"/>
      <c r="O28" s="602"/>
      <c r="P28" s="602"/>
      <c r="Q28" s="602"/>
      <c r="R28" s="602"/>
      <c r="S28" s="25"/>
      <c r="T28" s="25"/>
      <c r="U28" s="25"/>
      <c r="V28" s="25"/>
      <c r="W28" s="25"/>
      <c r="X28" s="25"/>
      <c r="Y28" s="25"/>
      <c r="Z28" s="25"/>
      <c r="AA28" s="25"/>
      <c r="AB28" s="25"/>
      <c r="AC28" s="25"/>
      <c r="AD28" s="25"/>
    </row>
    <row r="29" spans="1:30" ht="24" customHeight="1" thickBot="1">
      <c r="A29" s="25"/>
      <c r="B29" s="593"/>
      <c r="C29" s="594"/>
      <c r="D29" s="595" t="s">
        <v>12</v>
      </c>
      <c r="E29" s="595"/>
      <c r="F29" s="595"/>
      <c r="G29" s="595"/>
      <c r="H29" s="596"/>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G10" sqref="G10"/>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1" width="8.88671875" customWidth="1"/>
    <col min="12" max="16384" width="8.88671875" hidden="1"/>
  </cols>
  <sheetData>
    <row r="1" spans="1:11" ht="15" thickBot="1">
      <c r="A1" s="25"/>
      <c r="B1" s="25"/>
      <c r="C1" s="25"/>
      <c r="D1" s="25"/>
      <c r="E1" s="25"/>
      <c r="F1" s="25"/>
      <c r="G1" s="25"/>
      <c r="H1" s="25"/>
      <c r="I1" s="25"/>
      <c r="J1" s="25"/>
      <c r="K1" s="25"/>
    </row>
    <row r="2" spans="1:11" ht="32.4" customHeight="1" thickBot="1">
      <c r="A2" s="25"/>
      <c r="B2" s="581" t="s">
        <v>13</v>
      </c>
      <c r="C2" s="582"/>
      <c r="D2" s="260" t="s">
        <v>14</v>
      </c>
      <c r="E2" s="40"/>
      <c r="F2" s="25"/>
      <c r="G2" s="25"/>
      <c r="H2" s="25"/>
      <c r="I2" s="25"/>
      <c r="J2" s="25"/>
      <c r="K2" s="25"/>
    </row>
    <row r="3" spans="1:11" ht="42" customHeight="1">
      <c r="A3" s="25"/>
      <c r="B3" s="576" t="s">
        <v>15</v>
      </c>
      <c r="C3" s="577"/>
      <c r="D3" s="31" t="s">
        <v>1051</v>
      </c>
      <c r="E3" s="25"/>
      <c r="F3" s="25"/>
      <c r="G3" s="25"/>
      <c r="H3" s="25"/>
      <c r="I3" s="25"/>
      <c r="J3" s="25"/>
      <c r="K3" s="25"/>
    </row>
    <row r="4" spans="1:11" ht="42" customHeight="1">
      <c r="A4" s="25"/>
      <c r="B4" s="574" t="s">
        <v>16</v>
      </c>
      <c r="C4" s="575"/>
      <c r="D4" s="32" t="s">
        <v>1052</v>
      </c>
      <c r="E4" s="25"/>
      <c r="F4" s="25"/>
      <c r="G4" s="25"/>
      <c r="H4" s="25"/>
      <c r="I4" s="25"/>
      <c r="J4" s="25"/>
      <c r="K4" s="25"/>
    </row>
    <row r="5" spans="1:11" ht="42" customHeight="1">
      <c r="A5" s="25"/>
      <c r="B5" s="574" t="s">
        <v>17</v>
      </c>
      <c r="C5" s="575"/>
      <c r="D5" s="32" t="s">
        <v>1053</v>
      </c>
      <c r="E5" s="25"/>
      <c r="F5" s="25"/>
      <c r="G5" s="25"/>
      <c r="H5" s="25"/>
      <c r="I5" s="25"/>
      <c r="J5" s="25"/>
      <c r="K5" s="25"/>
    </row>
    <row r="6" spans="1:11" ht="42" customHeight="1">
      <c r="A6" s="25"/>
      <c r="B6" s="574" t="s">
        <v>18</v>
      </c>
      <c r="C6" s="575"/>
      <c r="D6" s="32" t="s">
        <v>460</v>
      </c>
      <c r="E6" s="25"/>
      <c r="F6" s="25"/>
      <c r="G6" s="25"/>
      <c r="H6" s="25"/>
      <c r="I6" s="25"/>
      <c r="J6" s="25"/>
      <c r="K6" s="25"/>
    </row>
    <row r="7" spans="1:11" ht="42" customHeight="1">
      <c r="A7" s="25"/>
      <c r="B7" s="574" t="s">
        <v>19</v>
      </c>
      <c r="C7" s="575"/>
      <c r="D7" s="32">
        <v>260735</v>
      </c>
      <c r="E7" s="25"/>
      <c r="F7" s="25"/>
      <c r="G7" s="25"/>
      <c r="H7" s="25"/>
      <c r="I7" s="25"/>
      <c r="J7" s="25"/>
      <c r="K7" s="25"/>
    </row>
    <row r="8" spans="1:11" ht="42" customHeight="1">
      <c r="A8" s="25"/>
      <c r="B8" s="574" t="s">
        <v>20</v>
      </c>
      <c r="C8" s="575"/>
      <c r="D8" s="32" t="s">
        <v>1054</v>
      </c>
      <c r="E8" s="25"/>
      <c r="F8" s="25"/>
      <c r="G8" s="25"/>
      <c r="H8" s="25"/>
      <c r="I8" s="25"/>
      <c r="J8" s="25"/>
      <c r="K8" s="25"/>
    </row>
    <row r="9" spans="1:11" ht="42" customHeight="1">
      <c r="A9" s="25"/>
      <c r="B9" s="574" t="s">
        <v>21</v>
      </c>
      <c r="C9" s="575"/>
      <c r="D9" s="287">
        <v>46103</v>
      </c>
      <c r="E9" s="25"/>
      <c r="F9" s="25"/>
      <c r="G9" s="25"/>
      <c r="H9" s="25"/>
      <c r="I9" s="25"/>
      <c r="J9" s="25"/>
      <c r="K9" s="25"/>
    </row>
    <row r="10" spans="1:11" ht="42" customHeight="1">
      <c r="A10" s="25"/>
      <c r="B10" s="574" t="s">
        <v>22</v>
      </c>
      <c r="C10" s="575"/>
      <c r="D10" s="32"/>
      <c r="E10" s="25"/>
      <c r="F10" s="25"/>
      <c r="G10" s="25"/>
      <c r="H10" s="25"/>
      <c r="I10" s="25"/>
      <c r="J10" s="25"/>
      <c r="K10" s="25"/>
    </row>
    <row r="11" spans="1:11" ht="42" customHeight="1" thickBot="1">
      <c r="A11" s="25"/>
      <c r="B11" s="578" t="s">
        <v>23</v>
      </c>
      <c r="C11" s="579"/>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569" t="s">
        <v>25</v>
      </c>
      <c r="C13" s="147" t="s">
        <v>1043</v>
      </c>
      <c r="D13" s="33">
        <v>10</v>
      </c>
      <c r="E13" s="572" t="str">
        <f>IF(D13&lt;10,"Caution - % target reduced below default ▲",IF(D13&gt;10,"Caution -Target increased above default ⚠",""))</f>
        <v/>
      </c>
      <c r="F13" s="573"/>
      <c r="G13" s="573"/>
      <c r="H13" s="573"/>
      <c r="I13" s="573"/>
      <c r="J13" s="435"/>
      <c r="K13" s="25"/>
    </row>
    <row r="14" spans="1:11" ht="42" customHeight="1">
      <c r="A14" s="25"/>
      <c r="B14" s="570"/>
      <c r="C14" s="148" t="s">
        <v>1044</v>
      </c>
      <c r="D14" s="34">
        <v>10</v>
      </c>
      <c r="E14" s="572" t="str">
        <f t="shared" ref="E14:E15" si="0">IF(D14&lt;10,"Caution - % target reduced below default ▲",IF(D14&gt;10,"Caution -Target increased above default ⚠",""))</f>
        <v/>
      </c>
      <c r="F14" s="573"/>
      <c r="G14" s="573"/>
      <c r="H14" s="573"/>
      <c r="I14" s="573"/>
      <c r="J14" s="25"/>
      <c r="K14" s="25"/>
    </row>
    <row r="15" spans="1:11" ht="42" customHeight="1" thickBot="1">
      <c r="A15" s="25"/>
      <c r="B15" s="571"/>
      <c r="C15" s="149" t="s">
        <v>26</v>
      </c>
      <c r="D15" s="35">
        <v>10</v>
      </c>
      <c r="E15" s="572" t="str">
        <f t="shared" si="0"/>
        <v/>
      </c>
      <c r="F15" s="573"/>
      <c r="G15" s="573"/>
      <c r="H15" s="573"/>
      <c r="I15" s="573"/>
      <c r="J15" s="25"/>
      <c r="K15" s="25"/>
    </row>
    <row r="16" spans="1:11" ht="36.6" customHeight="1" thickBot="1">
      <c r="A16" s="25"/>
      <c r="B16" s="153"/>
      <c r="C16" s="153"/>
      <c r="D16" s="501"/>
      <c r="E16" s="25"/>
      <c r="F16" s="25"/>
      <c r="G16" s="25"/>
      <c r="H16" s="25"/>
      <c r="I16" s="25"/>
      <c r="J16" s="25"/>
      <c r="K16" s="25"/>
    </row>
    <row r="17" spans="1:11" ht="40.950000000000003" customHeight="1">
      <c r="A17" s="25"/>
      <c r="B17" s="569" t="s">
        <v>1028</v>
      </c>
      <c r="C17" s="147" t="s">
        <v>1045</v>
      </c>
      <c r="D17" s="33">
        <v>0</v>
      </c>
      <c r="E17" s="568" t="str">
        <f>IF(D17=0,"","Unit increase Targets must be agreed with LPA ⚠")</f>
        <v/>
      </c>
      <c r="F17" s="568"/>
      <c r="G17" s="568"/>
      <c r="H17" s="568"/>
      <c r="I17" s="568"/>
      <c r="J17" s="25"/>
      <c r="K17" s="25"/>
    </row>
    <row r="18" spans="1:11" ht="40.950000000000003" customHeight="1">
      <c r="A18" s="25"/>
      <c r="B18" s="570"/>
      <c r="C18" s="148" t="s">
        <v>27</v>
      </c>
      <c r="D18" s="34">
        <v>0</v>
      </c>
      <c r="E18" s="568" t="str">
        <f t="shared" ref="E18:E19" si="1">IF(D18=0,"","Unit increase Targets must be agreed with LPA ⚠")</f>
        <v/>
      </c>
      <c r="F18" s="568"/>
      <c r="G18" s="568"/>
      <c r="H18" s="568"/>
      <c r="I18" s="568"/>
      <c r="J18" s="25"/>
      <c r="K18" s="25"/>
    </row>
    <row r="19" spans="1:11" ht="40.950000000000003" customHeight="1" thickBot="1">
      <c r="A19" s="25"/>
      <c r="B19" s="571"/>
      <c r="C19" s="149" t="s">
        <v>28</v>
      </c>
      <c r="D19" s="35">
        <v>0</v>
      </c>
      <c r="E19" s="568" t="str">
        <f t="shared" si="1"/>
        <v/>
      </c>
      <c r="F19" s="568"/>
      <c r="G19" s="568"/>
      <c r="H19" s="568"/>
      <c r="I19" s="568"/>
      <c r="J19" s="25"/>
      <c r="K19" s="25"/>
    </row>
    <row r="20" spans="1:11" ht="23.4" customHeight="1">
      <c r="A20" s="25"/>
      <c r="B20" s="25"/>
      <c r="C20" s="25"/>
      <c r="D20" s="25"/>
      <c r="E20" s="153"/>
      <c r="F20" s="153"/>
      <c r="G20" s="153"/>
      <c r="H20" s="153"/>
      <c r="I20" s="153"/>
      <c r="J20" s="25"/>
      <c r="K20" s="25"/>
    </row>
    <row r="21" spans="1:11" ht="34.200000000000003" customHeight="1" thickBot="1">
      <c r="A21" s="25"/>
      <c r="B21" s="580" t="s">
        <v>29</v>
      </c>
      <c r="C21" s="580"/>
      <c r="D21" s="580"/>
      <c r="E21" s="153"/>
      <c r="F21" s="153"/>
      <c r="G21" s="153"/>
      <c r="H21" s="153"/>
      <c r="I21" s="153"/>
      <c r="J21" s="25"/>
      <c r="K21" s="25"/>
    </row>
    <row r="22" spans="1:11" ht="40.950000000000003" customHeight="1">
      <c r="A22" s="25"/>
      <c r="B22" s="576" t="s">
        <v>30</v>
      </c>
      <c r="C22" s="577"/>
      <c r="D22" s="31" t="s">
        <v>1063</v>
      </c>
      <c r="E22" s="153"/>
      <c r="F22" s="153"/>
      <c r="G22" s="153"/>
      <c r="H22" s="153"/>
      <c r="I22" s="153"/>
      <c r="J22" s="25"/>
      <c r="K22" s="25"/>
    </row>
    <row r="23" spans="1:11" ht="40.950000000000003" customHeight="1" thickBot="1">
      <c r="A23" s="25"/>
      <c r="B23" s="578" t="s">
        <v>31</v>
      </c>
      <c r="C23" s="579"/>
      <c r="D23" s="288">
        <v>46149</v>
      </c>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 hidden="1" customHeight="1">
      <c r="A29" s="25"/>
      <c r="B29" s="25"/>
      <c r="C29" s="25"/>
      <c r="D29" s="25"/>
      <c r="E29" s="25"/>
      <c r="F29" s="25"/>
      <c r="G29" s="25"/>
      <c r="H29" s="25"/>
      <c r="I29" s="25"/>
      <c r="J29" s="25"/>
      <c r="K29" s="25"/>
    </row>
    <row r="30" spans="1:11" ht="14.4" hidden="1" customHeight="1">
      <c r="A30" s="25"/>
      <c r="B30" s="25"/>
      <c r="C30" s="25"/>
      <c r="D30" s="25"/>
      <c r="E30" s="25"/>
      <c r="F30" s="25"/>
      <c r="G30" s="25"/>
      <c r="H30" s="25"/>
      <c r="I30" s="25"/>
      <c r="J30" s="25"/>
      <c r="K30" s="25"/>
    </row>
    <row r="31" spans="1:11" ht="14.4" hidden="1" customHeight="1">
      <c r="A31" s="25"/>
      <c r="B31" s="25"/>
      <c r="C31" s="25"/>
      <c r="D31" s="25"/>
      <c r="E31" s="25"/>
      <c r="F31" s="25"/>
      <c r="G31" s="25"/>
      <c r="H31" s="25"/>
      <c r="I31" s="25"/>
      <c r="J31" s="25"/>
      <c r="K31" s="25"/>
    </row>
    <row r="32" spans="1:11" ht="14.4"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21" sqref="D21"/>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ARBORFIELD A</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1550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39</v>
      </c>
      <c r="C13" s="640" t="s">
        <v>367</v>
      </c>
      <c r="D13" s="641"/>
      <c r="E13" s="25"/>
      <c r="F13" s="25"/>
      <c r="G13" s="25"/>
      <c r="H13" s="25"/>
      <c r="I13" s="25"/>
      <c r="J13" s="25"/>
      <c r="K13" s="25"/>
      <c r="L13" s="25"/>
      <c r="M13" s="25"/>
      <c r="N13" s="25"/>
    </row>
    <row r="14" spans="1:14" ht="79.2" customHeight="1" thickBot="1">
      <c r="A14" s="25"/>
      <c r="B14" s="36" t="s">
        <v>40</v>
      </c>
      <c r="C14" s="642" t="s">
        <v>1058</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 customHeight="1" thickBot="1">
      <c r="A22" s="25"/>
      <c r="B22" s="56" t="s">
        <v>42</v>
      </c>
      <c r="C22" s="25"/>
      <c r="D22" s="25"/>
      <c r="E22" s="25"/>
      <c r="F22" s="25"/>
      <c r="G22" s="25"/>
      <c r="H22" s="25"/>
      <c r="I22" s="25"/>
      <c r="J22" s="25"/>
      <c r="K22" s="25"/>
      <c r="L22" s="25"/>
      <c r="M22" s="25"/>
      <c r="N22" s="25"/>
    </row>
    <row r="23" spans="1:14" ht="56.4" customHeight="1" thickBot="1">
      <c r="A23" s="25"/>
      <c r="B23" s="160" t="s">
        <v>1035</v>
      </c>
      <c r="C23" s="558"/>
      <c r="D23" s="559"/>
      <c r="E23" s="25"/>
      <c r="F23" s="25"/>
      <c r="G23" s="25"/>
      <c r="H23" s="25"/>
      <c r="I23" s="25"/>
      <c r="J23" s="25"/>
      <c r="K23" s="25"/>
      <c r="L23" s="25"/>
      <c r="M23" s="25"/>
      <c r="N23" s="25"/>
    </row>
    <row r="24" spans="1:14" ht="14.4" customHeight="1">
      <c r="A24" s="25"/>
      <c r="B24" s="25"/>
      <c r="C24" s="25"/>
      <c r="D24" s="25"/>
      <c r="E24" s="25"/>
      <c r="F24" s="25"/>
      <c r="G24" s="25"/>
      <c r="H24" s="25"/>
      <c r="I24" s="25"/>
      <c r="J24" s="25"/>
      <c r="K24" s="25"/>
      <c r="L24" s="25"/>
      <c r="M24" s="25"/>
      <c r="N24" s="25"/>
    </row>
    <row r="25" spans="1:14" ht="14.4"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8671875"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16382" width="8.88671875" hidden="1" customWidth="1"/>
    <col min="16383" max="16383" width="8.88671875" style="25" customWidth="1"/>
    <col min="16384" max="16384" width="8.886718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ARBORFIELD A</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Bramble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3" zoomScale="80" zoomScaleNormal="80" workbookViewId="0">
      <selection activeCell="P64" sqref="P64"/>
    </sheetView>
  </sheetViews>
  <sheetFormatPr defaultColWidth="8.88671875"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2.33203125" customWidth="1"/>
    <col min="20" max="20" width="13"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7" width="8.88671875" customWidth="1"/>
    <col min="78" max="16379" width="8.88671875" hidden="1" customWidth="1"/>
    <col min="16380" max="16383" width="8.88671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828" t="str">
        <f>IF('2. Site Details'!D4="","Enter site name on 2. Site Details",'2. Site Details'!D4)</f>
        <v>ARBORFIELD A</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830" t="s">
        <v>56</v>
      </c>
      <c r="D3" s="831"/>
      <c r="E3" s="25"/>
      <c r="F3" s="776"/>
      <c r="G3" s="777"/>
      <c r="H3" s="778"/>
      <c r="I3" s="81"/>
      <c r="J3" s="787"/>
      <c r="K3" s="787"/>
      <c r="L3" s="787"/>
      <c r="M3" s="787"/>
      <c r="N3" s="81"/>
      <c r="O3" s="83" t="s">
        <v>57</v>
      </c>
      <c r="P3" s="277">
        <f>IFERROR(L61, "Error ▲")</f>
        <v>0</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76"/>
      <c r="G4" s="777"/>
      <c r="H4" s="778"/>
      <c r="I4" s="81"/>
      <c r="J4" s="787"/>
      <c r="K4" s="787"/>
      <c r="L4" s="787"/>
      <c r="M4" s="787"/>
      <c r="N4" s="81"/>
      <c r="O4" s="83" t="s">
        <v>58</v>
      </c>
      <c r="P4" s="277">
        <f>IFERROR(L89, "Error ▲")</f>
        <v>0.57613549161599997</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76"/>
      <c r="G5" s="777"/>
      <c r="H5" s="778"/>
      <c r="I5" s="81"/>
      <c r="J5" s="787"/>
      <c r="K5" s="787"/>
      <c r="L5" s="787"/>
      <c r="M5" s="787"/>
      <c r="N5" s="81"/>
      <c r="O5" s="86" t="s">
        <v>59</v>
      </c>
      <c r="P5" s="278">
        <f>IFERROR((P1+L61+L89)-L32, "Error ▲")</f>
        <v>0.33613549161599998</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57.6">
      <c r="A11" s="89"/>
      <c r="B11" s="263">
        <v>1</v>
      </c>
      <c r="C11" s="258" t="s">
        <v>209</v>
      </c>
      <c r="D11" s="721" t="s">
        <v>326</v>
      </c>
      <c r="E11" s="722"/>
      <c r="F11" s="767" t="s">
        <v>112</v>
      </c>
      <c r="G11" s="768"/>
      <c r="H11" s="769"/>
      <c r="I11" s="305">
        <v>950</v>
      </c>
      <c r="J11" s="323">
        <v>950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t="s">
        <v>1062</v>
      </c>
      <c r="Q11" s="25"/>
      <c r="R11" s="654"/>
      <c r="S11" s="25"/>
      <c r="T11" s="663" t="str">
        <f>IF(C11="","",VLOOKUP(D11,'9. All Habitats + Multipliers'!$C$4:$K$102,5,FALSE))</f>
        <v>V.Low</v>
      </c>
      <c r="U11" s="66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57.6">
      <c r="A12" s="25"/>
      <c r="B12" s="264">
        <v>2</v>
      </c>
      <c r="C12" s="258" t="s">
        <v>204</v>
      </c>
      <c r="D12" s="824" t="s">
        <v>310</v>
      </c>
      <c r="E12" s="825"/>
      <c r="F12" s="767" t="s">
        <v>112</v>
      </c>
      <c r="G12" s="768"/>
      <c r="H12" s="769"/>
      <c r="I12" s="305">
        <v>600</v>
      </c>
      <c r="J12" s="306"/>
      <c r="K12" s="307">
        <v>600</v>
      </c>
      <c r="L12" s="301">
        <f t="shared" ref="L12:L30" si="0">IF(C12="","",IFERROR(IF(I12="","",((I12/10000)*V12*X12)*AD12),"Error ▲"))</f>
        <v>0.24</v>
      </c>
      <c r="M12" s="301">
        <f t="shared" ref="M12:M30" si="1">IF(I12="","",IF(J12+K12&gt;I12,"Area Error ▲",I12-J12-K12))</f>
        <v>0</v>
      </c>
      <c r="N12" s="356">
        <f t="shared" ref="N12:N30" si="2">IFERROR(IF(I12="","",IF(M12="Area Error ▲","Area Error ▲",((M12/10000)*V12*X12)*AD12)),"This intervention is not permitted within the SSM ▲")</f>
        <v>0</v>
      </c>
      <c r="O12" s="68"/>
      <c r="P12" s="3" t="s">
        <v>1062</v>
      </c>
      <c r="Q12" s="25"/>
      <c r="R12" s="654"/>
      <c r="S12" s="25"/>
      <c r="T12" s="663" t="str">
        <f>IF(C12="","",VLOOKUP(D12,'9. All Habitats + Multipliers'!$C$4:$K$102,5,FALSE))</f>
        <v>Medium</v>
      </c>
      <c r="U12" s="664"/>
      <c r="V12" s="94">
        <f>IF(T12="","",VLOOKUP(T12,'11. Lists'!$B$47:$D$49,2,FALSE))</f>
        <v>4</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0.24</v>
      </c>
      <c r="AG12" s="96">
        <f t="shared" ref="AG12:AG31" si="5">IF(D12="","",M12)</f>
        <v>0</v>
      </c>
      <c r="AH12" s="511" t="str">
        <f>IF(T12="","",VLOOKUP(T12,'11. Lists'!$B$47:$D$49,3,FALSE))</f>
        <v>Same broad habitat or a higher distinctiveness habitat required</v>
      </c>
      <c r="AI12" s="545"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1550</v>
      </c>
      <c r="J32" s="327">
        <f>SUMIFS(J11:J30,D11:D30,"&lt;&gt;"&amp;'11. Lists'!Q10,D11:D30,"&lt;&gt;"&amp;'11. Lists'!Q11,D11:D30,"&lt;&gt;"&amp;'11. Lists'!I4,D11:D30,"&lt;&gt;"&amp;'11. Lists'!I2,D11:D30,"&lt;&gt;"&amp;'11. Lists'!I3)</f>
        <v>950</v>
      </c>
      <c r="K32" s="328">
        <f>SUMIFS(K11:K30,D11:D30,"&lt;&gt;"&amp;'11. Lists'!Q10,D11:D30,"&lt;&gt;"&amp;'11. Lists'!Q11,D11:D30,"&lt;&gt;"&amp;'11. Lists'!I4,D11:D30,"&lt;&gt;"&amp;'11. Lists'!I2,D11:D30,"&lt;&gt;"&amp;'11. Lists'!I3)</f>
        <v>600</v>
      </c>
      <c r="L32" s="279">
        <f>SUM(L11:L31)</f>
        <v>0.24</v>
      </c>
      <c r="M32" s="319">
        <f>SUMIFS(M11:M30,D11:D30,"&lt;&gt;"&amp;'11. Lists'!Q10,D11:D30,"&lt;&gt;"&amp;'11. Lists'!Q11,D11:D30,"&lt;&gt;"&amp;'11. Lists'!I4,D11:D30,"&lt;&gt;"&amp;'11. Lists'!I2,D11:D30,"&lt;&gt;"&amp;'11. Lists'!I3)</f>
        <v>0</v>
      </c>
      <c r="N32" s="280">
        <f>SUM(N11:N31)</f>
        <v>0</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2"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8"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6">
      <c r="B40" s="263">
        <v>1</v>
      </c>
      <c r="C40" s="76"/>
      <c r="D40" s="73"/>
      <c r="E40" s="342" t="str">
        <f>IF(D40="","",VLOOKUP(D40,'10. Condition and Temporal'!$B$6:$D$103,3,FALSE))</f>
        <v/>
      </c>
      <c r="F40" s="826"/>
      <c r="G40" s="827"/>
      <c r="H40" s="72"/>
      <c r="I40" s="718"/>
      <c r="J40" s="719"/>
      <c r="K40" s="720"/>
      <c r="L40" s="711" t="str">
        <f>IF(C40="","",IFERROR(IF(I40="","",((I40/10000)*(V40*X40))*(AH40*AF40)*AD40),"This intervention is not permitted within the SSM ▲"))</f>
        <v/>
      </c>
      <c r="M40" s="688"/>
      <c r="N40" s="712"/>
      <c r="O40" s="2"/>
      <c r="P40" s="1"/>
      <c r="Q40" s="106"/>
      <c r="R40" s="654"/>
      <c r="T40" s="663" t="str">
        <f>IF(C40="","",VLOOKUP(D40,'9. All Habitats + Multipliers'!$C$4:$K$102,5,FALSE))</f>
        <v/>
      </c>
      <c r="U40" s="664"/>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6">
      <c r="B41" s="264">
        <v>2</v>
      </c>
      <c r="C41" s="77"/>
      <c r="D41" s="73"/>
      <c r="E41" s="342" t="str">
        <f>IF(D41="","",VLOOKUP(D41,'10. Condition and Temporal'!$B$6:$D$103,3,FALSE))</f>
        <v/>
      </c>
      <c r="F41" s="709"/>
      <c r="G41" s="710"/>
      <c r="H41" s="71"/>
      <c r="I41" s="718"/>
      <c r="J41" s="719"/>
      <c r="K41" s="720"/>
      <c r="L41" s="711" t="str">
        <f t="shared" ref="L41:L59" si="7">IF(C41="","",IFERROR(IF(I41="","",((I41/10000)*(V41*X41))*(AH41*AF41)*AD41),"This intervention is not permitted within the SSM ▲"))</f>
        <v/>
      </c>
      <c r="M41" s="688"/>
      <c r="N41" s="712"/>
      <c r="O41" s="61"/>
      <c r="P41" s="12"/>
      <c r="Q41" s="106"/>
      <c r="R41" s="654"/>
      <c r="T41" s="663" t="str">
        <f>IF(C41="","",VLOOKUP(D41,'9. All Habitats + Multipliers'!$C$4:$K$102,5,FALSE))</f>
        <v/>
      </c>
      <c r="U41" s="664"/>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6">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747" t="s">
        <v>111</v>
      </c>
      <c r="G60" s="748"/>
      <c r="H60" s="550" t="s">
        <v>112</v>
      </c>
      <c r="I60" s="751">
        <f>O99</f>
        <v>0</v>
      </c>
      <c r="J60" s="752"/>
      <c r="K60" s="753"/>
      <c r="L60" s="713">
        <f>IF(D60="","",((I60/10000)*(V60*X60))*(AH60*AF60)*AD60)</f>
        <v>0</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0</v>
      </c>
      <c r="J61" s="819"/>
      <c r="K61" s="820"/>
      <c r="L61" s="700">
        <f>SUM(L40:N60)</f>
        <v>0</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0</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2"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6</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Blackthorn scrub</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57.6">
      <c r="A69" s="89"/>
      <c r="B69" s="264">
        <v>2</v>
      </c>
      <c r="C69" s="119" t="str">
        <f t="shared" si="11"/>
        <v>Heathland and shrub</v>
      </c>
      <c r="D69" s="208" t="str">
        <f t="shared" ref="D69:D87" si="42">IF(OR(K12=0, K12=""),"",D12)</f>
        <v>Bramble scrub</v>
      </c>
      <c r="E69" s="166" t="str">
        <f t="shared" si="12"/>
        <v>Distinctiveness</v>
      </c>
      <c r="F69" s="672" t="s">
        <v>314</v>
      </c>
      <c r="G69" s="673"/>
      <c r="H69" s="163" t="str">
        <f t="shared" si="13"/>
        <v>Area/compensation not in local strategy/ no local strategy</v>
      </c>
      <c r="I69" s="321">
        <f t="shared" ref="I69:I87" si="43">IF(OR(K12="", K12=0),"",K12)</f>
        <v>600</v>
      </c>
      <c r="J69" s="678" t="str">
        <f>IFERROR(IF(F69="","",VLOOKUP(F69,'10. Condition and Temporal'!$B$6:$F$103,5,FALSE)), "Error ▲")</f>
        <v>Good</v>
      </c>
      <c r="K69" s="679"/>
      <c r="L69" s="283">
        <f t="shared" ref="L69:L87" si="44">IFERROR(IF(D69="","",IF(AX69="Distinctiveness",(((((I69*AH69*AJ69)-(I69*V69*X69))*(AV69*AT69))+(I69*V69*X69))*(AP69))/10000,((((I69*AJ69*AH69)-(I69*V69*X69))*(AV69*AR69))+(I69*V69*X69))*AP69/10000)),"Error ▲")</f>
        <v>0.57613549161599997</v>
      </c>
      <c r="M69" s="688">
        <f t="shared" ref="M69:M87" si="45">IFERROR(IF(F69="","",L69-AD69), "Error ▲")</f>
        <v>0.33613549161599998</v>
      </c>
      <c r="N69" s="689"/>
      <c r="O69" s="74"/>
      <c r="P69" s="12" t="s">
        <v>1064</v>
      </c>
      <c r="R69" s="654"/>
      <c r="T69" s="177">
        <f t="shared" si="14"/>
        <v>600</v>
      </c>
      <c r="U69" s="114" t="str">
        <f t="shared" ref="U69:U87" si="46">IF($D69="","",T12)</f>
        <v>Medium</v>
      </c>
      <c r="V69" s="94">
        <f t="shared" si="15"/>
        <v>4</v>
      </c>
      <c r="W69" s="93" t="str">
        <f t="shared" si="15"/>
        <v>Condition Assessment N/A</v>
      </c>
      <c r="X69" s="94">
        <f t="shared" si="15"/>
        <v>1</v>
      </c>
      <c r="Y69" s="372"/>
      <c r="Z69" s="343"/>
      <c r="AA69" s="507"/>
      <c r="AB69" s="93" t="str">
        <f t="shared" si="16"/>
        <v>Area/compensation not in local strategy/ no local strategy</v>
      </c>
      <c r="AC69" s="115">
        <f t="shared" si="17"/>
        <v>1</v>
      </c>
      <c r="AD69" s="177">
        <f>IF(AC69="","",(T69*V69*X69)*AC69/10000)</f>
        <v>0.24</v>
      </c>
      <c r="AE69" s="177" t="str">
        <f t="shared" ref="AE69:AE87" si="47">IF(AD69="","",IF(AH69&lt;V69,"Not Acceptable","Acceptable"))</f>
        <v>Acceptable</v>
      </c>
      <c r="AF69" s="511">
        <f t="shared" si="18"/>
        <v>600</v>
      </c>
      <c r="AG69" s="114" t="str">
        <f>IF(D69="","",VLOOKUP(F69,'9. All Habitats + Multipliers'!$C$4:$K$102,5,FALSE))</f>
        <v>Medium</v>
      </c>
      <c r="AH69" s="344">
        <f>IF(AG69="","",VLOOKUP(AG69,'11. Lists'!$B$47:$D$49,2,FALSE))</f>
        <v>4</v>
      </c>
      <c r="AI69" s="93" t="str">
        <f t="shared" si="19"/>
        <v>Good</v>
      </c>
      <c r="AJ69" s="94">
        <f>IF(AI69="","",VLOOKUP(AI69,'11. Lists'!$F$47:$G$51,2,FALSE))</f>
        <v>3</v>
      </c>
      <c r="AK69" s="372"/>
      <c r="AL69" s="343"/>
      <c r="AM69" s="507"/>
      <c r="AN69" s="93" t="str">
        <f t="shared" si="20"/>
        <v>Area/compensation not in local strategy/ no local strategy</v>
      </c>
      <c r="AO69" s="95" t="str">
        <f>IF(AN69="","",VLOOKUP(AN69,'11. Lists'!$F$36:$H$38,2,FALSE))</f>
        <v>Low Strategic Significance</v>
      </c>
      <c r="AP69" s="94">
        <f>IF(AN69="","",VLOOKUP(AN69,'11. Lists'!$F$36:$H$38,3,FALSE))</f>
        <v>1</v>
      </c>
      <c r="AQ69" s="114" t="str">
        <f>IF(D69="","",IF(AX69="Distinctiveness","N/A",VLOOKUP(F69,'10. Condition and Temporal'!$B$6:$L$103,11,FALSE)))</f>
        <v>N/A</v>
      </c>
      <c r="AR69" s="118" t="str">
        <f>IF(AQ69="","",IF(AQ69="N/A","1",VLOOKUP(AQ69,'11. Lists'!$I$47:$K$80,3,FALSE)))</f>
        <v>1</v>
      </c>
      <c r="AS69" s="524">
        <f>IF(D69="","",IF(AX69="Condition","N/A",VLOOKUP(F69,'10. Condition and Temporal'!$B$6:$M$106,12,FALSE)))</f>
        <v>10</v>
      </c>
      <c r="AT69" s="118">
        <f>IF(AS69="","",IF(AS69="N/A","1",VLOOKUP(AS69,'11. Lists'!$I$47:$K$80,3,FALSE)))</f>
        <v>0.70028227419999989</v>
      </c>
      <c r="AU69" s="114" t="str">
        <f>IF(D69="","",VLOOKUP(F69,'9. All Habitats + Multipliers'!$C$4:$K$102,8,FALSE))</f>
        <v>Low</v>
      </c>
      <c r="AV69" s="115">
        <f>IF(AU69="","",VLOOKUP(AU69,'11. Lists'!$J$35:$K$38,2,FALSE))</f>
        <v>1</v>
      </c>
      <c r="AW69" s="177" t="str">
        <f>IF(D69="","",VLOOKUP(D69,'10. Condition and Temporal'!$B$6:$M$103,4,FALSE))</f>
        <v>Blackthorn scrub, Gorse scrub, Hawthorn scrub, Hazel scrub, Mixed scrub, Willow scrub</v>
      </c>
      <c r="AX69" s="177" t="str">
        <f t="shared" si="21"/>
        <v>Distinctiveness</v>
      </c>
      <c r="AY69" s="463" t="str">
        <f t="shared" ref="AY69:AY87" si="48">IF(COUNTIF(F69,"*grassland*"),"Grassland",IF(COUNTIF(F69,"*scree*"),"Sparsely vegetated land",C69))</f>
        <v>Heathland and shrub</v>
      </c>
      <c r="BA69" s="93">
        <v>2</v>
      </c>
      <c r="BB69" s="95" t="str">
        <f t="shared" si="22"/>
        <v/>
      </c>
      <c r="BC69" s="95" t="str">
        <f t="shared" si="23"/>
        <v>Gorse scrub</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BC68:BC73</v>
      </c>
      <c r="BW69" s="95" t="s">
        <v>155</v>
      </c>
      <c r="BX69" s="95">
        <f>BC66</f>
        <v>6</v>
      </c>
    </row>
    <row r="70" spans="1:76" s="25" customFormat="1" ht="15.6">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Hawthorn scrub</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Hazel scrub</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Mixed scrub</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Willow scrub</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600</v>
      </c>
      <c r="J89" s="218"/>
      <c r="K89" s="216"/>
      <c r="L89" s="284">
        <f>SUM(L68:L88)</f>
        <v>0.57613549161599997</v>
      </c>
      <c r="M89" s="700">
        <f>SUM(M68:N88)</f>
        <v>0.33613549161599998</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c r="E95" s="703"/>
      <c r="F95" s="704"/>
      <c r="G95" s="852"/>
      <c r="H95" s="853"/>
      <c r="I95" s="693">
        <f>D95*'11. Lists'!P47</f>
        <v>0</v>
      </c>
      <c r="J95" s="694"/>
      <c r="K95" s="695"/>
      <c r="L95" s="657">
        <f>IF(E95&gt;D95, "Error ▲", E95*'11. Lists'!P47)</f>
        <v>0</v>
      </c>
      <c r="M95" s="694"/>
      <c r="N95" s="695"/>
      <c r="O95" s="657">
        <f>G95*'11. Lists'!P47</f>
        <v>0</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0</v>
      </c>
      <c r="E99" s="655">
        <f>SUM(E95:F98)</f>
        <v>0</v>
      </c>
      <c r="F99" s="708"/>
      <c r="G99" s="655">
        <f>SUM(G95:H98)</f>
        <v>0</v>
      </c>
      <c r="H99" s="656"/>
      <c r="I99" s="708">
        <f>SUM(I95:K98)</f>
        <v>0</v>
      </c>
      <c r="J99" s="707"/>
      <c r="K99" s="707"/>
      <c r="L99" s="707">
        <f>SUM(L95:N98)</f>
        <v>0</v>
      </c>
      <c r="M99" s="707"/>
      <c r="N99" s="707"/>
      <c r="O99" s="655">
        <f>SUM(O95:P98)</f>
        <v>0</v>
      </c>
      <c r="P99" s="656"/>
      <c r="R99" s="654"/>
    </row>
    <row r="100" spans="1:18" s="25" customFormat="1" ht="19.2"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0.24</v>
      </c>
      <c r="G119" s="122">
        <f>SUMIFS($L$40:$L$59,$C$40:$C$59,$B118,$T$40:$T$59,$E119)+SUMIFS($L$68:$L$87,$C$68:$C$87,B118,$AG$68:$AG$87,E119)+SUMIFS($AE$11:$AE$31,$C$11:$C$31,B118,$T$11:$T$31,E119)</f>
        <v>0.57613549161599997</v>
      </c>
      <c r="H119" s="122">
        <f t="shared" si="54"/>
        <v>0.33613549161599998</v>
      </c>
      <c r="I119" s="125" t="str">
        <f>IF(F119=0,"N/A",IF(H119&lt;0,"No ▲","Yes ✓"))</f>
        <v>Yes ✓</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4"/>
    </row>
    <row r="136" spans="2:18" s="25" customFormat="1" ht="15.6" customHeight="1" thickBot="1">
      <c r="J136" s="157"/>
      <c r="M136" s="26"/>
      <c r="R136" s="654"/>
    </row>
    <row r="137" spans="2:18" s="25" customFormat="1" ht="36">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0.24</v>
      </c>
      <c r="G138" s="156">
        <f>IF(L61+L89+P1=0,0,SUMIFS($L$40:$L$60,$T$40:$T$60,"Medium")+SUMIFS($L$68:$L$87,$AG$68:$AG$87,"Medium")+SUMIFS($AE$11:$AE$31,$T$11:$T$31,"Medium"))</f>
        <v>0.57613549161599997</v>
      </c>
      <c r="H138" s="122">
        <f>IFERROR(G138-F138,"")</f>
        <v>0.33613549161599998</v>
      </c>
      <c r="I138" s="329" t="str">
        <f>IF(G138="","",IF(H138&gt;=0,"Yes ✓","No ▲"))</f>
        <v>Yes ✓</v>
      </c>
      <c r="J138" s="157">
        <f t="shared" si="55"/>
        <v>0</v>
      </c>
      <c r="R138" s="654" t="s">
        <v>52</v>
      </c>
    </row>
    <row r="139" spans="2:18" s="25" customFormat="1" ht="30.6" customHeight="1">
      <c r="B139" s="803" t="s">
        <v>213</v>
      </c>
      <c r="C139" s="804"/>
      <c r="D139" s="804"/>
      <c r="E139" s="805"/>
      <c r="F139" s="122">
        <f>SUMIFS($L$11:$L$31,$T$11:$T$31,"Low")</f>
        <v>0</v>
      </c>
      <c r="G139" s="156">
        <f>IF(L61+L89+P1=0,0,SUMIFS($L$40:$L$60,$T$40:$T$60,"Low")+SUMIFS($L$68:$L$88,$AG$68:$AG$88,"Low")+SUMIFS($AE$11:$AE$31,$T$11:$T$31,"Low"))</f>
        <v>0</v>
      </c>
      <c r="H139" s="122">
        <f>IFERROR(G139-F139,"")</f>
        <v>0</v>
      </c>
      <c r="I139" s="329" t="str">
        <f>IF($I$142&gt;=0,"Yes ✓","No ▲")</f>
        <v>Yes ✓</v>
      </c>
      <c r="J139" s="157">
        <f t="shared" si="55"/>
        <v>0</v>
      </c>
      <c r="R139" s="654"/>
    </row>
    <row r="140" spans="2:18" s="25" customFormat="1" ht="41.25" customHeight="1" thickBot="1">
      <c r="B140" s="806" t="s">
        <v>214</v>
      </c>
      <c r="C140" s="807"/>
      <c r="D140" s="807"/>
      <c r="E140" s="808"/>
      <c r="F140" s="800">
        <f>IFERROR(H138+H139,"")</f>
        <v>0.33613549161599998</v>
      </c>
      <c r="G140" s="801"/>
      <c r="H140" s="802"/>
      <c r="I140" s="330" t="str">
        <f>IF(F140="","",IF(F140&gt;=0,"Yes ✓","No ▲"))</f>
        <v>Yes ✓</v>
      </c>
      <c r="J140" s="157">
        <f t="shared" si="55"/>
        <v>0</v>
      </c>
      <c r="R140" s="654"/>
    </row>
    <row r="141" spans="2:18" s="25" customFormat="1">
      <c r="R141" s="654"/>
    </row>
    <row r="142" spans="2:18" s="25" customFormat="1">
      <c r="I142" s="434">
        <f>IF($H$138&gt;0,($H$139+$H$138),$H$139)</f>
        <v>0.33613549161599998</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95" customHeight="1">
      <c r="B2" s="80" t="s">
        <v>53</v>
      </c>
      <c r="C2" s="828" t="str">
        <f>IF('2. Site Details'!D4="","Enter site name on 2. Site Details",'2. Site Details'!D4)</f>
        <v>ARBORFIELD A</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95"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95" customHeight="1">
      <c r="B4" s="84"/>
      <c r="C4" s="84"/>
      <c r="D4" s="84"/>
      <c r="F4" s="776"/>
      <c r="G4" s="777"/>
      <c r="H4" s="778"/>
      <c r="I4" s="52"/>
      <c r="J4" s="787"/>
      <c r="K4" s="787"/>
      <c r="L4" s="787"/>
      <c r="M4" s="787"/>
      <c r="N4" s="81"/>
      <c r="O4" s="83" t="s">
        <v>58</v>
      </c>
      <c r="P4" s="277">
        <f>IFERROR(L86, "Error ▲")</f>
        <v>0</v>
      </c>
      <c r="R4" s="654"/>
      <c r="T4" s="26"/>
    </row>
    <row r="5" spans="1:35" s="25" customFormat="1" ht="19.95" customHeight="1" thickBot="1">
      <c r="A5" s="85"/>
      <c r="F5" s="776"/>
      <c r="G5" s="777"/>
      <c r="H5" s="778"/>
      <c r="I5" s="52"/>
      <c r="J5" s="787"/>
      <c r="K5" s="787"/>
      <c r="L5" s="787"/>
      <c r="M5" s="787"/>
      <c r="N5" s="81"/>
      <c r="O5" s="86" t="s">
        <v>59</v>
      </c>
      <c r="P5" s="278">
        <f>IFERROR(P1+L59+L86-L31, "Error ▲")</f>
        <v>0</v>
      </c>
      <c r="R5" s="654"/>
      <c r="T5" s="26"/>
    </row>
    <row r="6" spans="1:35" s="25" customFormat="1" ht="13.2" customHeight="1" thickBot="1">
      <c r="A6" s="85"/>
      <c r="F6" s="779"/>
      <c r="G6" s="780"/>
      <c r="H6" s="781"/>
      <c r="I6" s="52"/>
      <c r="J6" s="52"/>
      <c r="K6" s="52"/>
      <c r="L6" s="52"/>
      <c r="M6" s="52"/>
      <c r="N6" s="52"/>
      <c r="O6" s="87"/>
      <c r="P6" s="87"/>
      <c r="R6" s="654"/>
      <c r="T6" s="26"/>
    </row>
    <row r="7" spans="1:35" s="25" customFormat="1" ht="19.2" customHeight="1">
      <c r="B7" s="57" t="s">
        <v>60</v>
      </c>
      <c r="D7" s="88"/>
      <c r="H7" s="26"/>
      <c r="K7" s="26"/>
      <c r="L7" s="30"/>
      <c r="M7" s="30"/>
      <c r="N7" s="30"/>
      <c r="R7" s="654"/>
      <c r="T7" s="26"/>
    </row>
    <row r="8" spans="1:35" s="25" customFormat="1" ht="10.95" customHeight="1" thickBot="1">
      <c r="A8" s="89"/>
      <c r="R8" s="654"/>
    </row>
    <row r="9" spans="1:35" s="25" customFormat="1" ht="29.4"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4"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8.8">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2"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8"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0</v>
      </c>
      <c r="J59" s="819"/>
      <c r="K59" s="820"/>
      <c r="L59" s="864">
        <f>SUM(L39:N58)</f>
        <v>0</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2"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2"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88671875" customWidth="1"/>
    <col min="3" max="3" width="24.44140625" customWidth="1"/>
    <col min="4" max="4" width="40.109375" customWidth="1"/>
    <col min="5" max="5" width="27" customWidth="1"/>
    <col min="6" max="6" width="20.5546875" customWidth="1"/>
    <col min="7" max="7" width="33.10937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546875" style="469" customWidth="1"/>
    <col min="37" max="37" width="4.44140625" style="469" hidden="1" customWidth="1"/>
    <col min="38" max="38" width="5.33203125" style="469" hidden="1" customWidth="1"/>
    <col min="39" max="39" width="6.6640625" style="469" hidden="1" customWidth="1"/>
    <col min="40" max="40" width="12.33203125" style="469"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5546875" customWidth="1"/>
    <col min="50" max="50" width="68.33203125" customWidth="1"/>
    <col min="51" max="51" width="26.5546875" customWidth="1"/>
    <col min="52" max="52" width="24.44140625" customWidth="1"/>
    <col min="53" max="81" width="8.88671875" customWidth="1"/>
    <col min="82" max="16384" width="8.886718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95" customHeight="1">
      <c r="B2" s="80" t="s">
        <v>53</v>
      </c>
      <c r="C2" s="828" t="str">
        <f>IF('2. Site Details'!D4="","Enter site name on 2. Site Details",'2. Site Details'!D4)</f>
        <v>ARBORFIELD A</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95"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95"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95"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2"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2" customHeight="1">
      <c r="B7" s="57" t="s">
        <v>60</v>
      </c>
      <c r="D7" s="88"/>
      <c r="H7" s="26"/>
      <c r="K7" s="26"/>
      <c r="L7" s="496"/>
      <c r="M7" s="30"/>
      <c r="N7" s="30"/>
      <c r="R7" s="654"/>
      <c r="T7" s="26"/>
      <c r="AJ7" s="157"/>
      <c r="AK7" s="157"/>
      <c r="AL7" s="157"/>
      <c r="AM7" s="157"/>
      <c r="AN7" s="157"/>
      <c r="AR7" s="157"/>
    </row>
    <row r="8" spans="1:44" s="25" customFormat="1" ht="10.95" customHeight="1" thickBot="1">
      <c r="A8" s="89"/>
      <c r="R8" s="654"/>
      <c r="AJ8" s="157"/>
      <c r="AK8" s="157"/>
      <c r="AL8" s="157"/>
      <c r="AM8" s="157"/>
      <c r="AN8" s="157"/>
      <c r="AR8" s="157"/>
    </row>
    <row r="9" spans="1:44" s="25" customFormat="1" ht="29.4"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8"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6">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2"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8"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6">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2"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2"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
      <c r="C108" s="828" t="s">
        <v>259</v>
      </c>
      <c r="D108" s="976"/>
      <c r="E108" s="976"/>
      <c r="F108" s="976"/>
      <c r="G108" s="437">
        <f ca="1">$H$105</f>
        <v>0</v>
      </c>
      <c r="H108" s="431"/>
      <c r="J108" s="430"/>
      <c r="R108" s="654"/>
      <c r="AJ108" s="157"/>
      <c r="AK108" s="157"/>
      <c r="AL108" s="157"/>
      <c r="AM108" s="157"/>
      <c r="AN108" s="157"/>
    </row>
    <row r="109" spans="3:40" s="25" customFormat="1" ht="18.600000000000001"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cols>
    <col min="1" max="1" width="14.109375" customWidth="1"/>
    <col min="2" max="2" width="30.5546875" customWidth="1"/>
    <col min="3" max="3" width="45.33203125" customWidth="1"/>
    <col min="4" max="4" width="76.44140625" customWidth="1"/>
    <col min="5" max="5" width="13" bestFit="1" customWidth="1"/>
    <col min="6" max="6" width="19.5546875" style="49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ARBORFIELD A</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1"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1" t="s">
        <v>263</v>
      </c>
      <c r="C7" s="582"/>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1"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0.24</v>
      </c>
      <c r="E11" s="485"/>
      <c r="F11" s="491">
        <f>('2. Site Details'!$D$13/100)*$D$11</f>
        <v>2.4E-2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0.57613549161599997</v>
      </c>
      <c r="E15" s="485"/>
      <c r="F15" s="492">
        <f>D11+F11</f>
        <v>0.26400000000000001</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0.33613549161599998</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1.4005645484</v>
      </c>
      <c r="E23" s="539" t="str" cm="1">
        <f t="array" ref="E23">_xlfn.IFS(D23&gt;=F19,"✓",D23&lt;0,"▲", D23&lt;F19,"⚠")</f>
        <v>✓</v>
      </c>
      <c r="F23" s="491">
        <f>$D$23*100</f>
        <v>140.05645483999999</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 customHeight="1" thickBot="1">
      <c r="A36" s="25"/>
      <c r="B36" s="382" t="s">
        <v>267</v>
      </c>
      <c r="C36" s="51">
        <f>IF(D11="Zero Units Baseline",0,D11)</f>
        <v>0.24</v>
      </c>
      <c r="D36" s="51">
        <f>D15</f>
        <v>0.57613549161599997</v>
      </c>
      <c r="E36" s="52"/>
      <c r="F36" s="491"/>
      <c r="G36" s="25"/>
      <c r="H36" s="25"/>
      <c r="I36" s="25"/>
      <c r="J36" s="25"/>
      <c r="K36" s="25"/>
      <c r="L36" s="25"/>
      <c r="M36" s="25"/>
      <c r="N36" s="25"/>
      <c r="O36" s="25"/>
      <c r="P36" s="25"/>
      <c r="Q36" s="54"/>
      <c r="R36" s="29"/>
      <c r="S36" s="29"/>
      <c r="T36" s="29"/>
      <c r="U36" s="29"/>
      <c r="V36" s="29"/>
      <c r="W36" s="29"/>
      <c r="X36" s="25"/>
    </row>
    <row r="37" spans="1:24" ht="23.4"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 hidden="1" customHeight="1"/>
    <row r="72" spans="1:24" ht="14.4" hidden="1" customHeight="1"/>
    <row r="73" spans="1:24" ht="14.4" hidden="1" customHeight="1"/>
    <row r="74" spans="1:24" ht="14.4"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88671875" customWidth="1"/>
    <col min="3" max="3" width="78.5546875" bestFit="1" customWidth="1"/>
    <col min="4" max="4" width="28.5546875" style="18" customWidth="1"/>
    <col min="5" max="5" width="14.44140625" hidden="1" customWidth="1"/>
    <col min="6" max="6" width="18.44140625" hidden="1" customWidth="1"/>
    <col min="7" max="7" width="15.88671875" style="18" customWidth="1"/>
    <col min="8" max="8" width="34.5546875" style="20" customWidth="1"/>
    <col min="9" max="9" width="13" customWidth="1"/>
    <col min="10" max="10" width="12.88671875" bestFit="1" customWidth="1"/>
    <col min="11" max="11" width="23.88671875" hidden="1" customWidth="1"/>
    <col min="12" max="25" width="8.88671875" customWidth="1"/>
    <col min="26" max="16384" width="8.88671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88671875" customWidth="1"/>
    <col min="2" max="2" width="79.33203125" customWidth="1"/>
    <col min="3" max="3" width="24.109375" customWidth="1"/>
    <col min="4" max="4" width="31.109375" customWidth="1"/>
    <col min="5" max="5" width="114.5546875" customWidth="1"/>
    <col min="6" max="6" width="35.6640625" customWidth="1"/>
    <col min="7" max="11" width="17.886718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5" customWidth="1"/>
    <col min="16384" max="16384" width="9.1093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00000000000006"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640625" defaultRowHeight="14.4" zeroHeight="1"/>
  <cols>
    <col min="1" max="1" width="25.33203125" customWidth="1"/>
    <col min="2" max="2" width="8.88671875" customWidth="1"/>
    <col min="3" max="3" width="42" customWidth="1"/>
    <col min="4" max="4" width="18.88671875" customWidth="1"/>
    <col min="5" max="5" width="32.44140625" customWidth="1"/>
    <col min="6" max="6" width="19.554687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44" customWidth="1"/>
    <col min="18" max="18" width="8.88671875" customWidth="1"/>
    <col min="19" max="19" width="35.6640625" bestFit="1" customWidth="1"/>
    <col min="20" max="20" width="8.88671875" customWidth="1"/>
    <col min="21" max="21" width="61.5546875"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09375" defaultRowHeight="14.4"/>
  <cols>
    <col min="1" max="2" width="9.109375" style="25"/>
    <col min="3" max="3" width="34.109375" style="25" customWidth="1"/>
    <col min="4" max="4" width="45.44140625" style="25" customWidth="1"/>
    <col min="5" max="5" width="38.6640625" style="25" customWidth="1"/>
    <col min="6" max="16384" width="9.1093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Louise Aparo</cp:lastModifiedBy>
  <cp:revision/>
  <dcterms:created xsi:type="dcterms:W3CDTF">2020-09-14T13:04:31Z</dcterms:created>
  <dcterms:modified xsi:type="dcterms:W3CDTF">2026-05-08T08:56:00Z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y fmtid="{D5CDD505-2E9C-101B-9397-08002B2CF9AE}" pid="11" name="MSIP_Label_2b28a9a6-133a-4796-ad7d-6b90f7583680_Enabled">
    <vt:lpwstr>true</vt:lpwstr>
  </property>
  <property fmtid="{D5CDD505-2E9C-101B-9397-08002B2CF9AE}" pid="12" name="MSIP_Label_2b28a9a6-133a-4796-ad7d-6b90f7583680_SetDate">
    <vt:lpwstr>2026-05-07T15:59:32Z</vt:lpwstr>
  </property>
  <property fmtid="{D5CDD505-2E9C-101B-9397-08002B2CF9AE}" pid="13" name="MSIP_Label_2b28a9a6-133a-4796-ad7d-6b90f7583680_Method">
    <vt:lpwstr>Standard</vt:lpwstr>
  </property>
  <property fmtid="{D5CDD505-2E9C-101B-9397-08002B2CF9AE}" pid="14" name="MSIP_Label_2b28a9a6-133a-4796-ad7d-6b90f7583680_Name">
    <vt:lpwstr>Private</vt:lpwstr>
  </property>
  <property fmtid="{D5CDD505-2E9C-101B-9397-08002B2CF9AE}" pid="15" name="MSIP_Label_2b28a9a6-133a-4796-ad7d-6b90f7583680_SiteId">
    <vt:lpwstr>996ee15c-0b3e-4a6f-8e65-120a9a51821a</vt:lpwstr>
  </property>
  <property fmtid="{D5CDD505-2E9C-101B-9397-08002B2CF9AE}" pid="16" name="MSIP_Label_2b28a9a6-133a-4796-ad7d-6b90f7583680_ActionId">
    <vt:lpwstr>4e4920df-0cff-4eec-b69c-07a72001be19</vt:lpwstr>
  </property>
  <property fmtid="{D5CDD505-2E9C-101B-9397-08002B2CF9AE}" pid="17" name="MSIP_Label_2b28a9a6-133a-4796-ad7d-6b90f7583680_ContentBits">
    <vt:lpwstr>2</vt:lpwstr>
  </property>
  <property fmtid="{D5CDD505-2E9C-101B-9397-08002B2CF9AE}" pid="18" name="MSIP_Label_2b28a9a6-133a-4796-ad7d-6b90f7583680_Tag">
    <vt:lpwstr>10, 3, 0, 1</vt:lpwstr>
  </property>
</Properties>
</file>