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C:\Users\Owner\OneDrive\Desktop\nature\"/>
    </mc:Choice>
  </mc:AlternateContent>
  <xr:revisionPtr revIDLastSave="0" documentId="8_{11E74E46-D80B-483B-9EC6-CCDFE3612F7A}"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0730" windowHeight="11160" tabRatio="730" firstSheet="3"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F11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8"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<sst xmlns="http://schemas.openxmlformats.org/spreadsheetml/2006/main" count="3161" uniqueCount="1062">
  <si>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</si>
  <si>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</si>
  <si>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</si>
  <si>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</si>
  <si>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</si>
  <si>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</si>
  <si>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</si>
  <si>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</si>
  <si>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</si>
  <si>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</si>
  <si>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</si>
  <si>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</si>
  <si>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</si>
  <si>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</si>
  <si>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</si>
  <si>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</si>
  <si>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</si>
  <si>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</si>
  <si>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</si>
  <si>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</si>
  <si>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</si>
  <si>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</si>
  <si>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</si>
  <si>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</si>
  <si>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</si>
  <si>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</si>
  <si>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</si>
  <si>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</si>
  <si>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</si>
  <si>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</si>
  <si>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</si>
  <si>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</si>
  <si>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</si>
  <si>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</si>
  <si>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</si>
  <si>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</si>
  <si>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</si>
  <si>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</si>
  <si>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</si>
  <si>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</si>
  <si>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</si>
  <si>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</si>
  <si>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</si>
  <si>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</si>
  <si>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</si>
  <si>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</si>
  <si>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</si>
  <si>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</si>
  <si>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</si>
  <si>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</si>
  <si>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</si>
  <si>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</si>
  <si>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</si>
  <si>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</si>
  <si>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</si>
  <si>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</si>
  <si>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</si>
  <si>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</si>
  <si>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</si>
  <si>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</si>
  <si>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</si>
  <si>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</si>
  <si>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</si>
  <si>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</si>
  <si>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</si>
  <si>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</si>
  <si>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</si>
  <si>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</si>
  <si>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</si>
  <si>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</si>
  <si>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</si>
  <si>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</si>
  <si>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</si>
  <si>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</si>
  <si>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</si>
  <si>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</si>
  <si>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</si>
  <si>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</si>
  <si>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</si>
  <si>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</si>
  <si>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</si>
  <si>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</si>
  <si>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</si>
  <si>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</si>
  <si>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</si>
  <si>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</si>
  <si>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</si>
  <si>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</si>
  <si>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</si>
  <si>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</si>
  <si>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</si>
  <si>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</si>
  <si>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</si>
  <si>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</si>
  <si>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</si>
  <si>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</si>
  <si>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</si>
  <si>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</si>
  <si>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</si>
  <si>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</si>
  <si>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</si>
  <si>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</si>
  <si>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</si>
  <si>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</si>
  <si>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</si>
  <si>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</si>
  <si>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</si>
  <si>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</si>
  <si>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</si>
  <si>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</si>
  <si>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</si>
  <si>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</si>
  <si>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</si>
  <si>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</si>
  <si>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</si>
  <si>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</si>
  <si>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</si>
  <si>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</si>
  <si>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</si>
  <si>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</si>
  <si>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</si>
  <si>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</si>
  <si>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</si>
  <si>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</si>
  <si>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</si>
  <si>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</si>
  <si>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</si>
  <si>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</si>
  <si>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</si>
  <si>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</si>
  <si>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</si>
  <si>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</si>
  <si>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</si>
  <si>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</si>
  <si>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</si>
  <si>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</si>
  <si>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</si>
  <si>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</si>
  <si>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</si>
  <si>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</si>
  <si>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</si>
  <si>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</si>
  <si>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</si>
  <si>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</si>
  <si>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</si>
  <si>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</si>
  <si>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</si>
  <si>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</si>
  <si>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</si>
  <si>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</si>
  <si>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</si>
  <si>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</si>
  <si>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</si>
  <si>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</si>
  <si>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</si>
  <si>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</si>
  <si>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</si>
  <si>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</si>
  <si>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</si>
  <si>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</si>
  <si>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</si>
  <si>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</si>
  <si>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</si>
  <si>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</si>
  <si>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</si>
  <si>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</si>
  <si>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</si>
  <si>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</si>
  <si>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</si>
  <si>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</si>
  <si>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</si>
  <si>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</si>
  <si>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</si>
  <si>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</si>
  <si>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</si>
  <si>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</si>
  <si>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</si>
  <si>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</si>
  <si>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</si>
  <si>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</si>
  <si>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</si>
  <si>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</si>
  <si>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</si>
  <si>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</si>
  <si>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</si>
  <si>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</si>
  <si>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</si>
  <si>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</si>
  <si>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</si>
  <si>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</si>
  <si>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</si>
  <si>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</si>
  <si>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</si>
  <si>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</si>
  <si>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</si>
  <si>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</si>
  <si>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</si>
  <si>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</si>
  <si>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</si>
  <si>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</si>
  <si>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</si>
  <si>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</si>
  <si>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</si>
  <si>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</si>
  <si>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</si>
  <si>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</si>
  <si>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</si>
  <si>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</si>
  <si>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</si>
  <si>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</si>
  <si>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</si>
  <si>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</si>
  <si>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</si>
  <si>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</si>
  <si>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</si>
  <si>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</si>
  <si>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</si>
  <si>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</si>
  <si>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</si>
  <si>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</si>
  <si>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</si>
  <si>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</si>
  <si>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</si>
  <si>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</si>
  <si>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</si>
  <si>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</si>
  <si>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</si>
  <si>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</si>
  <si>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</si>
  <si>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</si>
  <si>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</si>
  <si>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</si>
  <si>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</si>
  <si>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</si>
  <si>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</si>
  <si>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</si>
  <si>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</si>
  <si>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</si>
  <si>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</si>
  <si>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</si>
  <si>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</si>
  <si>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</si>
  <si>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</si>
  <si>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</si>
  <si>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</si>
  <si>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</si>
  <si>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</si>
  <si>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</si>
  <si>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</si>
  <si>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</si>
  <si>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</si>
  <si>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</si>
  <si>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</si>
  <si>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</si>
  <si>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</si>
  <si>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</si>
  <si>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</si>
  <si>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</si>
  <si>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</si>
  <si>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</si>
  <si>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</si>
  <si>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</si>
  <si>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</si>
  <si>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</si>
  <si>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</si>
  <si>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</si>
  <si>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</si>
  <si>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</si>
  <si>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</si>
  <si>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</si>
  <si>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</si>
  <si>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</si>
  <si>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</si>
  <si>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</si>
  <si>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</si>
  <si>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</si>
  <si>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</si>
  <si>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</si>
  <si>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</si>
  <si>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</si>
  <si>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</si>
  <si>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</si>
  <si>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</si>
  <si>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</si>
  <si>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</si>
  <si>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</si>
  <si>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</si>
  <si>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</si>
  <si>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</si>
  <si>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</si>
  <si>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</si>
  <si>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</si>
  <si>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</si>
  <si>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</si>
  <si>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</si>
  <si>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</si>
  <si>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</si>
  <si>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</si>
  <si>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</si>
  <si>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</si>
  <si>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</si>
  <si>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</si>
  <si>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</si>
  <si>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</si>
  <si>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</si>
  <si>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</si>
  <si>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</si>
  <si>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</si>
  <si>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</si>
  <si>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</si>
  <si>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</si>
  <si>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</si>
  <si>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</si>
  <si>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</si>
  <si>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</si>
  <si>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</si>
  <si>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</si>
  <si>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</si>
  <si>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</si>
  <si>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</si>
  <si>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</si>
  <si>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</si>
  <si>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</si>
  <si>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</si>
  <si>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</si>
  <si>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</si>
  <si>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</si>
  <si>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</si>
  <si>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</si>
  <si>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</si>
  <si>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</si>
  <si>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</si>
  <si>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</si>
  <si>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</si>
  <si>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</si>
  <si>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</si>
  <si>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</si>
  <si>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</si>
  <si>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</si>
  <si>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</si>
  <si>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</si>
  <si>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</si>
  <si>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</si>
  <si>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</si>
  <si>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</si>
  <si>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</si>
  <si>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</si>
  <si>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</si>
  <si>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</si>
  <si>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</si>
  <si>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</si>
  <si>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</si>
  <si>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</si>
  <si>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</si>
  <si>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</si>
  <si>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</si>
  <si>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</si>
  <si>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</si>
  <si>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</si>
  <si>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</si>
  <si>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</si>
  <si>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</si>
  <si>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</si>
  <si>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</si>
  <si>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</si>
  <si>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</si>
  <si>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</si>
  <si>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</si>
  <si>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</si>
  <si>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</si>
  <si>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</si>
  <si>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</si>
  <si>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</si>
  <si>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</si>
  <si>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</si>
  <si>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</si>
  <si>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</si>
  <si>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</si>
  <si>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</si>
  <si>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</si>
  <si>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</si>
  <si>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</si>
  <si>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</si>
  <si>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</si>
  <si>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</si>
  <si>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</si>
  <si>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</si>
  <si>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</si>
  <si>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</si>
  <si>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</si>
  <si>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</si>
  <si>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</si>
  <si>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</si>
  <si>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</si>
  <si>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</si>
  <si>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</si>
  <si>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</si>
  <si>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</si>
  <si>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</si>
  <si>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</si>
  <si>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</si>
  <si>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</si>
  <si>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</si>
  <si>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</si>
  <si>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</si>
  <si>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</si>
  <si>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</si>
  <si>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</si>
  <si>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</si>
  <si>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</si>
  <si>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</si>
  <si>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</si>
  <si>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</si>
  <si>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</si>
  <si>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</si>
  <si>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</si>
  <si>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</si>
  <si>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</si>
  <si>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</si>
  <si>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</si>
  <si>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</si>
  <si>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</si>
  <si>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</si>
  <si>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</si>
  <si>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</si>
  <si>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</si>
  <si>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</si>
  <si>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</si>
  <si>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</si>
  <si>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</si>
  <si>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</si>
  <si>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</si>
  <si>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</si>
  <si>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</si>
  <si>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</si>
  <si>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</si>
  <si>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</si>
  <si>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</si>
  <si>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</si>
  <si>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</si>
  <si>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</si>
  <si>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</si>
  <si>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</si>
  <si>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</si>
  <si>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</si>
  <si>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</si>
  <si>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</si>
  <si>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</si>
  <si>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</si>
  <si>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</si>
  <si>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</si>
  <si>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</si>
  <si>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</si>
  <si>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</si>
  <si>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</si>
  <si>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</si>
  <si>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</si>
  <si>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</si>
  <si>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</si>
  <si>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</si>
  <si>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</si>
  <si>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</si>
  <si>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</si>
  <si>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</si>
  <si>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</si>
  <si>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</si>
  <si>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</si>
  <si>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</si>
  <si>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</si>
  <si>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</si>
  <si>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</si>
  <si>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</si>
  <si>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</si>
  <si>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</si>
  <si>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</si>
  <si>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</si>
  <si>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</si>
  <si>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</si>
  <si>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</si>
  <si>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</si>
  <si>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</si>
  <si>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</si>
  <si>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</si>
  <si>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</si>
  <si>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</si>
  <si>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</si>
  <si>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</si>
  <si>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</si>
  <si>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</si>
  <si>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</si>
  <si>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</si>
  <si>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</si>
  <si>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</si>
  <si>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</si>
  <si>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</si>
  <si>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</si>
  <si>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</si>
  <si>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</si>
  <si>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</si>
  <si>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</si>
  <si>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</si>
  <si>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</si>
  <si>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</si>
  <si>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</si>
  <si>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</si>
  <si>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</si>
  <si>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</si>
  <si>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</si>
  <si>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</si>
  <si>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</si>
  <si>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</si>
  <si>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</si>
  <si>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</si>
  <si>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</si>
  <si>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</si>
  <si>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</si>
  <si>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</si>
  <si>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</si>
  <si>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</si>
  <si>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</si>
  <si>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</si>
  <si>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</si>
  <si>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</si>
  <si>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</si>
  <si>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</si>
  <si>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</si>
  <si>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</si>
  <si>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</si>
  <si>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</si>
  <si>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</si>
  <si>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</si>
  <si>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</si>
  <si>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</si>
  <si>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</si>
  <si>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</si>
  <si>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</si>
  <si>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</si>
  <si>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</si>
  <si>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</si>
  <si>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</si>
  <si>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</si>
  <si>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</si>
  <si>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</si>
  <si>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</si>
  <si>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</si>
  <si>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</si>
  <si>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</si>
  <si>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</si>
  <si>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</si>
  <si>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</si>
  <si>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</si>
  <si>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</si>
  <si>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</si>
  <si>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</si>
  <si>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</si>
  <si>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</si>
  <si>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</si>
  <si>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</si>
  <si>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</si>
  <si>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</si>
  <si>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</si>
  <si>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</si>
  <si>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</si>
  <si>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</si>
  <si>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</si>
  <si>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</si>
  <si>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</si>
  <si>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</si>
  <si>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</si>
  <si>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</si>
  <si>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</si>
  <si>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</si>
  <si>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</si>
  <si>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</si>
  <si>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</si>
  <si>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</si>
  <si>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</si>
  <si>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</si>
  <si>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</si>
  <si>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</si>
  <si>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</si>
  <si>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</si>
  <si>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</si>
  <si>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</si>
  <si>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</si>
  <si>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</si>
  <si>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</si>
  <si>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</si>
  <si>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</si>
  <si>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</si>
  <si>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</si>
  <si>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</si>
  <si>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</si>
  <si>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</si>
  <si>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</si>
  <si>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</si>
  <si>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</si>
  <si>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</si>
  <si>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</si>
  <si>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</si>
  <si>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</si>
  <si>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</si>
  <si>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</si>
  <si>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</si>
  <si>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</si>
  <si>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</si>
  <si>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</si>
  <si>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</si>
  <si>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</si>
  <si>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</si>
  <si>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</si>
  <si>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</si>
  <si>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</si>
  <si>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</si>
  <si>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</si>
  <si>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</si>
  <si>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</si>
  <si>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</si>
  <si>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</si>
  <si>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</si>
  <si>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</si>
  <si>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</si>
  <si>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</si>
  <si>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</si>
  <si>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</si>
  <si>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</si>
  <si>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</si>
  <si>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</si>
  <si>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</si>
  <si>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</si>
  <si>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</si>
  <si>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</si>
  <si>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</si>
  <si>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</si>
  <si>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</si>
  <si>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</si>
  <si>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</si>
  <si>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</si>
  <si>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</si>
  <si>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</si>
  <si>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</si>
  <si>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</si>
  <si>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</si>
  <si>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</si>
  <si>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</si>
  <si>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</si>
  <si>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</si>
  <si>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</si>
  <si>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</si>
  <si>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</si>
  <si>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</si>
  <si>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</si>
  <si>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</si>
  <si>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</si>
  <si>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</si>
  <si>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</si>
  <si>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</si>
  <si>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</si>
  <si>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</si>
  <si>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</si>
  <si>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</si>
  <si>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</si>
  <si>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</si>
  <si>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</si>
  <si>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</si>
  <si>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</si>
  <si>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</si>
  <si>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</si>
  <si>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</si>
  <si>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</si>
  <si>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</si>
  <si>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</si>
  <si>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</si>
  <si>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</si>
  <si>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</si>
  <si>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</si>
  <si>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</si>
  <si>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</si>
  <si>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</si>
  <si>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</si>
  <si>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</si>
  <si>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</si>
  <si>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</si>
  <si>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</si>
  <si>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</si>
  <si>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</si>
  <si>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</si>
  <si>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</si>
  <si>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</si>
  <si>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</si>
  <si>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</si>
  <si>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</si>
  <si>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</si>
  <si>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</si>
  <si>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</si>
  <si>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</si>
  <si>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</si>
  <si>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</si>
  <si>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</si>
  <si>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</si>
  <si>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</si>
  <si>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</si>
  <si>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</si>
  <si>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</si>
  <si>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</si>
  <si>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</si>
  <si>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</si>
  <si>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</si>
  <si>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</si>
  <si>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</si>
  <si>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</si>
  <si>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</si>
  <si>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</si>
  <si>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</si>
  <si>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</si>
  <si>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</si>
  <si>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</si>
  <si>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</si>
  <si>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</si>
  <si>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</si>
  <si>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</si>
  <si>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</si>
  <si>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</si>
  <si>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</si>
  <si>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</si>
  <si>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</si>
  <si>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</si>
  <si>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</si>
  <si>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</si>
  <si>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</si>
  <si>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</si>
  <si>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</si>
  <si>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</si>
  <si>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</si>
  <si>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</si>
  <si>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</si>
  <si>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</si>
  <si>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</si>
  <si>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</si>
  <si>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</si>
  <si>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</si>
  <si>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</si>
  <si>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</si>
  <si>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</si>
  <si>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</si>
  <si>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</si>
  <si>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</si>
  <si>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</si>
  <si>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</si>
  <si>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</si>
  <si>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</si>
  <si>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</si>
  <si>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</si>
  <si>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</si>
  <si>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</si>
  <si>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</si>
  <si>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</si>
  <si>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</si>
  <si>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</si>
  <si>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</si>
  <si>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</si>
  <si>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</si>
  <si>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</si>
  <si>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</si>
  <si>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</si>
  <si>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</si>
  <si>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</si>
  <si>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</si>
  <si>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</si>
  <si>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</si>
  <si>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</si>
  <si>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</si>
  <si>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</si>
  <si>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</si>
  <si>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</si>
  <si>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</si>
  <si>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</si>
  <si>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</si>
  <si>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</si>
  <si>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</si>
  <si>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</si>
  <si>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</si>
  <si>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</si>
  <si>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</si>
  <si>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</si>
  <si>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</si>
  <si>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</si>
  <si>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</si>
  <si>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</si>
  <si>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</si>
  <si>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</si>
  <si>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</si>
  <si>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</si>
  <si>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</si>
  <si>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</si>
  <si>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</si>
  <si>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</si>
  <si>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</si>
  <si>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</si>
  <si>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</si>
  <si>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</si>
  <si>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</si>
  <si>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</si>
  <si>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</si>
  <si>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</si>
  <si>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</si>
  <si>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</si>
  <si>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</si>
  <si>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</si>
  <si>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</si>
  <si>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</si>
  <si>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</si>
  <si>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</si>
  <si>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</si>
  <si>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</si>
  <si>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</si>
  <si>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</si>
  <si>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</si>
  <si>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</si>
  <si>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</si>
  <si>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</si>
  <si>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</si>
  <si>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</si>
  <si>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</si>
  <si>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</si>
  <si>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</si>
  <si>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</si>
  <si>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</si>
  <si>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</si>
  <si>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</si>
  <si>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</si>
  <si>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</si>
  <si>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</si>
  <si>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</si>
  <si>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</si>
  <si>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</si>
  <si>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</si>
  <si>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</si>
  <si>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</si>
  <si>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</si>
  <si>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</si>
  <si>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</si>
  <si>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</si>
  <si>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</si>
  <si>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</si>
  <si>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</si>
  <si>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</si>
  <si>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</si>
  <si>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</si>
  <si>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</si>
  <si>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</si>
  <si>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</si>
  <si>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</si>
  <si>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</si>
  <si>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</si>
  <si>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</si>
  <si>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</si>
  <si>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</si>
  <si>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</si>
  <si>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</si>
  <si>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</si>
  <si>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</si>
  <si>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</si>
  <si>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</si>
  <si>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</si>
  <si>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</si>
  <si>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</si>
  <si>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</si>
  <si>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</si>
  <si>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</si>
  <si>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</si>
  <si>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</si>
  <si>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</si>
  <si>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</si>
  <si>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</si>
  <si>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</si>
  <si>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</si>
  <si>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</si>
  <si>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</si>
  <si>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</si>
  <si>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</si>
  <si>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</si>
  <si>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</si>
  <si>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</si>
  <si>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</si>
  <si>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</si>
  <si>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</si>
  <si>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</si>
  <si>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</si>
  <si>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</si>
  <si>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</si>
  <si>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</si>
  <si>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</si>
  <si>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</si>
  <si>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</si>
  <si>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</si>
  <si>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</si>
  <si>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</si>
  <si>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</si>
  <si>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</si>
  <si>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</si>
  <si>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</si>
  <si>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</si>
  <si>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</si>
  <si>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</si>
  <si>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</si>
  <si>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</si>
  <si>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</si>
  <si>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</si>
  <si>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</si>
  <si>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</si>
  <si>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</si>
  <si>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</si>
  <si>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</si>
  <si>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</si>
  <si>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</si>
  <si>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</si>
  <si>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</si>
  <si>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</si>
  <si>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</si>
  <si>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</si>
  <si>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</si>
  <si>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</si>
  <si>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</si>
  <si>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</si>
  <si>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</si>
  <si>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</si>
  <si>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</si>
  <si>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</si>
  <si>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</si>
  <si>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</si>
  <si>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</si>
  <si>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</si>
  <si>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</si>
  <si>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</si>
  <si>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</si>
  <si>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</si>
  <si>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</si>
  <si>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</si>
  <si>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</si>
  <si>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</si>
  <si>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</si>
  <si>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</si>
  <si>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</si>
  <si>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</si>
  <si>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</si>
  <si>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</si>
  <si>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</si>
  <si>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</si>
  <si>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</si>
  <si>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</si>
  <si>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</si>
  <si>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</si>
  <si>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</si>
  <si>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</si>
  <si>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</si>
  <si>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</si>
  <si>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</si>
  <si>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</si>
  <si>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</si>
  <si>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</si>
  <si>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</si>
  <si>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</si>
  <si>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</si>
  <si>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</si>
  <si>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</si>
  <si>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</si>
  <si>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</si>
  <si>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</si>
  <si>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</si>
  <si>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</si>
  <si>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</si>
  <si>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</si>
  <si>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</si>
  <si>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</si>
  <si>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</si>
  <si>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</si>
  <si>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</si>
  <si>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</si>
  <si>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</si>
  <si>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</si>
  <si>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</si>
  <si>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</si>
  <si>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</si>
  <si>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</si>
  <si>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</si>
  <si>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</si>
  <si>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</si>
  <si>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</si>
  <si>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</si>
  <si>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</si>
  <si>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</si>
  <si>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</si>
  <si>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</si>
  <si>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</si>
  <si>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</si>
  <si>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</si>
  <si>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</si>
  <si>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</si>
  <si>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</si>
  <si>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</si>
  <si>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</si>
  <si>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</si>
  <si>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</si>
  <si>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</si>
  <si>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</si>
  <si>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</si>
  <si>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</si>
  <si>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</si>
  <si>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</si>
  <si>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</si>
  <si>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</si>
  <si>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</si>
  <si>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</si>
  <si>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</si>
  <si>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</si>
  <si>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</si>
  <si>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</si>
  <si>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</si>
  <si>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</si>
  <si>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</si>
  <si>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</si>
  <si>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</si>
  <si>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</si>
  <si>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</si>
  <si>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</si>
  <si>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</si>
  <si>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</si>
  <si>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</si>
  <si>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</si>
  <si>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</si>
  <si>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</si>
  <si>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</si>
  <si>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</si>
  <si>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</si>
  <si>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</si>
  <si>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</si>
  <si>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</si>
  <si>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</si>
  <si>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</si>
  <si>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</si>
  <si>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</si>
  <si>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</si>
  <si>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</si>
  <si>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</si>
  <si>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</si>
  <si>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</si>
  <si>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</si>
  <si>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</si>
  <si>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</si>
  <si>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</si>
  <si>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WOKINGHAM</t>
  </si>
  <si>
    <t>ARBORFIELD A</t>
  </si>
  <si>
    <t>ROONEY</t>
  </si>
  <si>
    <t>STUART H CARRUTHERS TAXONOMIST</t>
  </si>
  <si>
    <t>Residential</t>
  </si>
  <si>
    <t>Between 1 - 9 dwellings</t>
  </si>
  <si>
    <t>No</t>
  </si>
  <si>
    <t>MAGIC / DIRECT SURVEY</t>
  </si>
  <si>
    <t>Walkover completed by competent person</t>
  </si>
  <si>
    <t>STUART H CARRUTHERS</t>
  </si>
  <si>
    <t>TAXONOMIST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</si>
</sst>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0.24</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0.57613549161599997</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4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4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3" zoomScale="80" zoomScaleNormal="80" workbookViewId="0">
      <selection activeCell="D9" sqref="D9"/>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32" t="s">
        <v>13</v>
      </c>
      <c r="C2" s="633"/>
      <c r="D2" s="260" t="s">
        <v>14</v>
      </c>
      <c r="E2" s="40"/>
      <c r="F2" s="25"/>
      <c r="G2" s="25"/>
      <c r="H2" s="25"/>
      <c r="I2" s="25"/>
      <c r="J2" s="25"/>
      <c r="K2" s="25"/>
    </row>
    <row r="3" spans="1:11" ht="42" customHeight="1">
      <c r="A3" s="25"/>
      <c r="B3" s="627" t="s">
        <v>15</v>
      </c>
      <c r="C3" s="628"/>
      <c r="D3" s="31" t="s">
        <v>1051</v>
      </c>
      <c r="E3" s="25"/>
      <c r="F3" s="25"/>
      <c r="G3" s="25"/>
      <c r="H3" s="25"/>
      <c r="I3" s="25"/>
      <c r="J3" s="25"/>
      <c r="K3" s="25"/>
    </row>
    <row r="4" spans="1:11" ht="42" customHeight="1">
      <c r="A4" s="25"/>
      <c r="B4" s="625" t="s">
        <v>16</v>
      </c>
      <c r="C4" s="626"/>
      <c r="D4" s="32" t="s">
        <v>1052</v>
      </c>
      <c r="E4" s="25"/>
      <c r="F4" s="25"/>
      <c r="G4" s="25"/>
      <c r="H4" s="25"/>
      <c r="I4" s="25"/>
      <c r="J4" s="25"/>
      <c r="K4" s="25"/>
    </row>
    <row r="5" spans="1:11" ht="42" customHeight="1">
      <c r="A5" s="25"/>
      <c r="B5" s="625" t="s">
        <v>17</v>
      </c>
      <c r="C5" s="626"/>
      <c r="D5" s="32" t="s">
        <v>1053</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32"/>
      <c r="E7" s="25"/>
      <c r="F7" s="25"/>
      <c r="G7" s="25"/>
      <c r="H7" s="25"/>
      <c r="I7" s="25"/>
      <c r="J7" s="25"/>
      <c r="K7" s="25"/>
    </row>
    <row r="8" spans="1:11" ht="42" customHeight="1">
      <c r="A8" s="25"/>
      <c r="B8" s="625" t="s">
        <v>20</v>
      </c>
      <c r="C8" s="626"/>
      <c r="D8" s="32" t="s">
        <v>1054</v>
      </c>
      <c r="E8" s="25"/>
      <c r="F8" s="25"/>
      <c r="G8" s="25"/>
      <c r="H8" s="25"/>
      <c r="I8" s="25"/>
      <c r="J8" s="25"/>
      <c r="K8" s="25"/>
    </row>
    <row r="9" spans="1:11" ht="42" customHeight="1">
      <c r="A9" s="25"/>
      <c r="B9" s="625" t="s">
        <v>21</v>
      </c>
      <c r="C9" s="626"/>
      <c r="D9" s="287">
        <v>46103</v>
      </c>
      <c r="E9" s="25"/>
      <c r="F9" s="25"/>
      <c r="G9" s="25"/>
      <c r="H9" s="25"/>
      <c r="I9" s="25"/>
      <c r="J9" s="25"/>
      <c r="K9" s="25"/>
    </row>
    <row r="10" spans="1:11" ht="42" customHeight="1">
      <c r="A10" s="25"/>
      <c r="B10" s="625" t="s">
        <v>22</v>
      </c>
      <c r="C10" s="626"/>
      <c r="D10" s="32"/>
      <c r="E10" s="25"/>
      <c r="F10" s="25"/>
      <c r="G10" s="25"/>
      <c r="H10" s="25"/>
      <c r="I10" s="25"/>
      <c r="J10" s="25"/>
      <c r="K10" s="25"/>
    </row>
    <row r="11" spans="1:11" ht="42" customHeight="1" thickBot="1">
      <c r="A11" s="25"/>
      <c r="B11" s="629" t="s">
        <v>23</v>
      </c>
      <c r="C11" s="630"/>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 customHeight="1" thickBot="1">
      <c r="A16" s="25"/>
      <c r="B16" s="153"/>
      <c r="C16" s="153"/>
      <c r="D16" s="501"/>
      <c r="E16" s="25"/>
      <c r="F16" s="25"/>
      <c r="G16" s="25"/>
      <c r="H16" s="25"/>
      <c r="I16" s="25"/>
      <c r="J16" s="25"/>
      <c r="K16" s="25"/>
    </row>
    <row r="17" spans="1:11" ht="40.9" customHeight="1">
      <c r="A17" s="25"/>
      <c r="B17" s="620" t="s">
        <v>1028</v>
      </c>
      <c r="C17" s="147" t="s">
        <v>1045</v>
      </c>
      <c r="D17" s="33">
        <v>0</v>
      </c>
      <c r="E17" s="619" t="str">
        <f>IF(D17=0,"","Unit increase Targets must be agreed with LPA ⚠")</f>
        <v/>
      </c>
      <c r="F17" s="619"/>
      <c r="G17" s="619"/>
      <c r="H17" s="619"/>
      <c r="I17" s="619"/>
      <c r="J17" s="25"/>
      <c r="K17" s="25"/>
    </row>
    <row r="18" spans="1:11" ht="40.9" customHeight="1">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c r="A19" s="25"/>
      <c r="B19" s="622"/>
      <c r="C19" s="149" t="s">
        <v>28</v>
      </c>
      <c r="D19" s="35">
        <v>0</v>
      </c>
      <c r="E19" s="619" t="str">
        <f t="shared" si="1"/>
        <v/>
      </c>
      <c r="F19" s="619"/>
      <c r="G19" s="619"/>
      <c r="H19" s="619"/>
      <c r="I19" s="619"/>
      <c r="J19" s="25"/>
      <c r="K19" s="25"/>
    </row>
    <row r="20" spans="1:11" ht="23.45" customHeight="1">
      <c r="A20" s="25"/>
      <c r="B20" s="25"/>
      <c r="C20" s="25"/>
      <c r="D20" s="25"/>
      <c r="E20" s="153"/>
      <c r="F20" s="153"/>
      <c r="G20" s="153"/>
      <c r="H20" s="153"/>
      <c r="I20" s="153"/>
      <c r="J20" s="25"/>
      <c r="K20" s="25"/>
    </row>
    <row r="21" spans="1:11" ht="34.15" customHeight="1" thickBot="1">
      <c r="A21" s="25"/>
      <c r="B21" s="631" t="s">
        <v>29</v>
      </c>
      <c r="C21" s="631"/>
      <c r="D21" s="631"/>
      <c r="E21" s="153"/>
      <c r="F21" s="153"/>
      <c r="G21" s="153"/>
      <c r="H21" s="153"/>
      <c r="I21" s="153"/>
      <c r="J21" s="25"/>
      <c r="K21" s="25"/>
    </row>
    <row r="22" spans="1:11" ht="40.9" customHeight="1">
      <c r="A22" s="25"/>
      <c r="B22" s="627" t="s">
        <v>30</v>
      </c>
      <c r="C22" s="628"/>
      <c r="D22" s="31"/>
      <c r="E22" s="153"/>
      <c r="F22" s="153"/>
      <c r="G22" s="153"/>
      <c r="H22" s="153"/>
      <c r="I22" s="153"/>
      <c r="J22" s="25"/>
      <c r="K22" s="25"/>
    </row>
    <row r="23" spans="1:11" ht="40.9" customHeight="1" thickBot="1">
      <c r="A23" s="25"/>
      <c r="B23" s="629" t="s">
        <v>31</v>
      </c>
      <c r="C23" s="63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D21" sqref="D21"/>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ARBORFIELD A</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1550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t="s">
        <v>367</v>
      </c>
      <c r="D13" s="641"/>
      <c r="E13" s="25"/>
      <c r="F13" s="25"/>
      <c r="G13" s="25"/>
      <c r="H13" s="25"/>
      <c r="I13" s="25"/>
      <c r="J13" s="25"/>
      <c r="K13" s="25"/>
      <c r="L13" s="25"/>
      <c r="M13" s="25"/>
      <c r="N13" s="25"/>
    </row>
    <row r="14" spans="1:14" ht="79.150000000000006" customHeight="1" thickBot="1">
      <c r="A14" s="25"/>
      <c r="B14" s="36" t="s">
        <v>40</v>
      </c>
      <c r="C14" s="642" t="s">
        <v>1058</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46087</v>
      </c>
      <c r="D20" s="162" t="str">
        <f>IF(C20="","Walkover date required ▲","Site walkover data valid until "&amp;TEXT(EDATE(C20,6),"dd/mm/yy"))</f>
        <v>Site walkover data valid until 06/09/26</v>
      </c>
      <c r="E20" s="25"/>
      <c r="F20" s="25"/>
      <c r="G20" s="25"/>
      <c r="H20" s="25"/>
      <c r="I20" s="25"/>
      <c r="J20" s="25"/>
      <c r="K20" s="25"/>
      <c r="L20" s="25"/>
      <c r="M20" s="25"/>
      <c r="N20" s="25"/>
    </row>
    <row r="21" spans="1:14" ht="39.6" customHeight="1" thickBot="1">
      <c r="A21" s="25"/>
      <c r="B21" s="36" t="s">
        <v>1034</v>
      </c>
      <c r="C21" s="560" t="s">
        <v>1060</v>
      </c>
      <c r="D21" s="561" t="s">
        <v>1061</v>
      </c>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ARBORFIELD A</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Artificial unvegetated, unsealed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Bramble scrub</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52" zoomScale="80" zoomScaleNormal="80" workbookViewId="0">
      <selection activeCell="F69" sqref="F69:G69"/>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8" t="str">
        <f>IF('2. Site Details'!D4="","Enter site name on 2. Site Details",'2. Site Details'!D4)</f>
        <v>ARBORFIELD A</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0" t="s">
        <v>56</v>
      </c>
      <c r="D3" s="831"/>
      <c r="E3" s="25"/>
      <c r="F3" s="776"/>
      <c r="G3" s="777"/>
      <c r="H3" s="778"/>
      <c r="I3" s="81"/>
      <c r="J3" s="787"/>
      <c r="K3" s="787"/>
      <c r="L3" s="787"/>
      <c r="M3" s="787"/>
      <c r="N3" s="81"/>
      <c r="O3" s="83" t="s">
        <v>57</v>
      </c>
      <c r="P3" s="277">
        <f>IFERROR(L61, "Error ▲")</f>
        <v>0</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58</v>
      </c>
      <c r="P4" s="277">
        <f>IFERROR(L89, "Error ▲")</f>
        <v>0.57613549161599997</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6"/>
      <c r="G5" s="777"/>
      <c r="H5" s="778"/>
      <c r="I5" s="81"/>
      <c r="J5" s="787"/>
      <c r="K5" s="787"/>
      <c r="L5" s="787"/>
      <c r="M5" s="787"/>
      <c r="N5" s="81"/>
      <c r="O5" s="86" t="s">
        <v>59</v>
      </c>
      <c r="P5" s="278">
        <f>IFERROR((P1+L61+L89)-L32, "Error ▲")</f>
        <v>0.33613549161599998</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721" t="s">
        <v>326</v>
      </c>
      <c r="E11" s="722"/>
      <c r="F11" s="767" t="s">
        <v>112</v>
      </c>
      <c r="G11" s="768"/>
      <c r="H11" s="769"/>
      <c r="I11" s="305">
        <v>950</v>
      </c>
      <c r="J11" s="323">
        <v>950</v>
      </c>
      <c r="K11" s="307"/>
      <c r="L11" s="408">
        <f>IF(C11="","",IFERROR(IF(I11="","",((I11/10000)*V11*X11)*AD11),"Error ▲"))</f>
        <v>0</v>
      </c>
      <c r="M11" s="408">
        <f>IF(I11="","",IF(J11+K11&gt;I11,"Area Error ▲",I11-J11-K11))</f>
        <v>0</v>
      </c>
      <c r="N11" s="409">
        <f>IFERROR(IF(I11="","",IF(M11="Area Error ▲","Area Error ▲",((M11/10000)*V11*X11)*AD11)),"This intervention is not permitted within the SSM ▲")</f>
        <v>0</v>
      </c>
      <c r="O11" s="67"/>
      <c r="P11" s="5"/>
      <c r="Q11" s="25"/>
      <c r="R11" s="654"/>
      <c r="S11" s="25"/>
      <c r="T11" s="663" t="str">
        <f>IF(C11="","",VLOOKUP(D11,'9. All Habitats + Multipliers'!$C$4:$K$102,5,FALSE))</f>
        <v>V.Low</v>
      </c>
      <c r="U11" s="664"/>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204</v>
      </c>
      <c r="D12" s="824" t="s">
        <v>310</v>
      </c>
      <c r="E12" s="825"/>
      <c r="F12" s="767" t="s">
        <v>112</v>
      </c>
      <c r="G12" s="768"/>
      <c r="H12" s="769"/>
      <c r="I12" s="305">
        <v>600</v>
      </c>
      <c r="J12" s="306"/>
      <c r="K12" s="307">
        <v>600</v>
      </c>
      <c r="L12" s="301">
        <f t="shared" ref="L12:L30" si="0">IF(C12="","",IFERROR(IF(I12="","",((I12/10000)*V12*X12)*AD12),"Error ▲"))</f>
        <v>0.24</v>
      </c>
      <c r="M12" s="301">
        <f t="shared" ref="M12:M30" si="1">IF(I12="","",IF(J12+K12&gt;I12,"Area Error ▲",I12-J12-K12))</f>
        <v>0</v>
      </c>
      <c r="N12" s="356">
        <f t="shared" ref="N12:N30" si="2">IFERROR(IF(I12="","",IF(M12="Area Error ▲","Area Error ▲",((M12/10000)*V12*X12)*AD12)),"This intervention is not permitted within the SSM ▲")</f>
        <v>0</v>
      </c>
      <c r="O12" s="68"/>
      <c r="P12" s="3"/>
      <c r="Q12" s="25"/>
      <c r="R12" s="654"/>
      <c r="S12" s="25"/>
      <c r="T12" s="663" t="str">
        <f>IF(C12="","",VLOOKUP(D12,'9. All Habitats + Multipliers'!$C$4:$K$102,5,FALSE))</f>
        <v>Medium</v>
      </c>
      <c r="U12" s="664"/>
      <c r="V12" s="94">
        <f>IF(T12="","",VLOOKUP(T12,'11. Lists'!$B$47:$D$49,2,FALSE))</f>
        <v>4</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0.24</v>
      </c>
      <c r="AG12" s="96">
        <f t="shared" ref="AG12:AG31" si="5">IF(D12="","",M12)</f>
        <v>0</v>
      </c>
      <c r="AH12" s="511" t="str">
        <f>IF(T12="","",VLOOKUP(T12,'11. Lists'!$B$47:$D$49,3,FALSE))</f>
        <v>Same broad habitat or a higher distinctiveness habitat required</v>
      </c>
      <c r="AI12" s="545" t="str">
        <f>IF(D12="","",VLOOKUP(D12,'10. Condition and Temporal'!$B$6:$L$103,4,FALSE))</f>
        <v>Blackthorn scrub, Gorse scrub, Hawthorn scrub, Hazel scrub, Mixed scrub, Willow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1550</v>
      </c>
      <c r="J32" s="327">
        <f>SUMIFS(J11:J30,D11:D30,"&lt;&gt;"&amp;'11. Lists'!Q10,D11:D30,"&lt;&gt;"&amp;'11. Lists'!Q11,D11:D30,"&lt;&gt;"&amp;'11. Lists'!I4,D11:D30,"&lt;&gt;"&amp;'11. Lists'!I2,D11:D30,"&lt;&gt;"&amp;'11. Lists'!I3)</f>
        <v>950</v>
      </c>
      <c r="K32" s="328">
        <f>SUMIFS(K11:K30,D11:D30,"&lt;&gt;"&amp;'11. Lists'!Q10,D11:D30,"&lt;&gt;"&amp;'11. Lists'!Q11,D11:D30,"&lt;&gt;"&amp;'11. Lists'!I4,D11:D30,"&lt;&gt;"&amp;'11. Lists'!I2,D11:D30,"&lt;&gt;"&amp;'11. Lists'!I3)</f>
        <v>600</v>
      </c>
      <c r="L32" s="279">
        <f>SUM(L11:L31)</f>
        <v>0.24</v>
      </c>
      <c r="M32" s="319">
        <f>SUMIFS(M11:M30,D11:D30,"&lt;&gt;"&amp;'11. Lists'!Q10,D11:D30,"&lt;&gt;"&amp;'11. Lists'!Q11,D11:D30,"&lt;&gt;"&amp;'11. Lists'!I4,D11:D30,"&lt;&gt;"&amp;'11. Lists'!I2,D11:D30,"&lt;&gt;"&amp;'11. Lists'!I3)</f>
        <v>0</v>
      </c>
      <c r="N32" s="280">
        <f>SUM(N11:N31)</f>
        <v>0</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7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149999999999999"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2.25"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75">
      <c r="B40" s="263">
        <v>1</v>
      </c>
      <c r="C40" s="76"/>
      <c r="D40" s="73"/>
      <c r="E40" s="342" t="str">
        <f>IF(D40="","",VLOOKUP(D40,'10. Condition and Temporal'!$B$6:$D$103,3,FALSE))</f>
        <v/>
      </c>
      <c r="F40" s="826"/>
      <c r="G40" s="827"/>
      <c r="H40" s="72"/>
      <c r="I40" s="718"/>
      <c r="J40" s="719"/>
      <c r="K40" s="720"/>
      <c r="L40" s="711" t="str">
        <f>IF(C40="","",IFERROR(IF(I40="","",((I40/10000)*(V40*X40))*(AH40*AF40)*AD40),"This intervention is not permitted within the SSM ▲"))</f>
        <v/>
      </c>
      <c r="M40" s="688"/>
      <c r="N40" s="712"/>
      <c r="O40" s="2"/>
      <c r="P40" s="1"/>
      <c r="Q40" s="106"/>
      <c r="R40" s="654"/>
      <c r="T40" s="663" t="str">
        <f>IF(C40="","",VLOOKUP(D40,'9. All Habitats + Multipliers'!$C$4:$K$102,5,FALSE))</f>
        <v/>
      </c>
      <c r="U40" s="664"/>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c r="B41" s="264">
        <v>2</v>
      </c>
      <c r="C41" s="77"/>
      <c r="D41" s="73"/>
      <c r="E41" s="342" t="str">
        <f>IF(D41="","",VLOOKUP(D41,'10. Condition and Temporal'!$B$6:$D$103,3,FALSE))</f>
        <v/>
      </c>
      <c r="F41" s="709"/>
      <c r="G41" s="710"/>
      <c r="H41" s="71"/>
      <c r="I41" s="718"/>
      <c r="J41" s="719"/>
      <c r="K41" s="720"/>
      <c r="L41" s="711" t="str">
        <f t="shared" ref="L41:L59" si="7">IF(C41="","",IFERROR(IF(I41="","",((I41/10000)*(V41*X41))*(AH41*AF41)*AD41),"This intervention is not permitted within the SSM ▲"))</f>
        <v/>
      </c>
      <c r="M41" s="688"/>
      <c r="N41" s="712"/>
      <c r="O41" s="61"/>
      <c r="P41" s="12"/>
      <c r="Q41" s="106"/>
      <c r="R41" s="654"/>
      <c r="T41" s="663" t="str">
        <f>IF(C41="","",VLOOKUP(D41,'9. All Habitats + Multipliers'!$C$4:$K$102,5,FALSE))</f>
        <v/>
      </c>
      <c r="U41" s="664"/>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747" t="s">
        <v>111</v>
      </c>
      <c r="G60" s="748"/>
      <c r="H60" s="550" t="s">
        <v>112</v>
      </c>
      <c r="I60" s="751">
        <f>O99</f>
        <v>0</v>
      </c>
      <c r="J60" s="752"/>
      <c r="K60" s="753"/>
      <c r="L60" s="713">
        <f>IF(D60="","",((I60/10000)*(V60*X60))*(AH60*AF60)*AD60)</f>
        <v>0</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818">
        <f>SUMIFS(I40:I59,D40:D59,"&lt;&gt;"&amp;'11. Lists'!Q10,D40:D59,"&lt;&gt;"&amp;'11. Lists'!Q11,D40:D59,"&lt;&gt;"&amp;'11. Lists'!I4,D40:D59,"&lt;&gt;"&amp;'11. Lists'!I2,D40:D59,"&lt;&gt;"&amp;'11. Lists'!I3)</f>
        <v>0</v>
      </c>
      <c r="J61" s="819"/>
      <c r="K61" s="820"/>
      <c r="L61" s="700">
        <f>SUM(L40:N60)</f>
        <v>0</v>
      </c>
      <c r="M61" s="821"/>
      <c r="N61" s="697"/>
      <c r="R61" s="654"/>
    </row>
    <row r="62" spans="2:53" s="25" customFormat="1" ht="15.7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0</v>
      </c>
      <c r="R63" s="654"/>
      <c r="BA63" s="50" t="s">
        <v>114</v>
      </c>
    </row>
    <row r="64" spans="2:53" s="25" customFormat="1" ht="21">
      <c r="B64" s="57" t="s">
        <v>115</v>
      </c>
      <c r="D64" s="88"/>
      <c r="H64" s="26"/>
      <c r="R64" s="654"/>
      <c r="BA64" s="50" t="s">
        <v>116</v>
      </c>
    </row>
    <row r="65" spans="1:76" s="25" customFormat="1" ht="15.75" thickBot="1">
      <c r="A65" s="89"/>
      <c r="R65" s="654" t="s">
        <v>52</v>
      </c>
    </row>
    <row r="66" spans="1:76" s="25" customFormat="1" ht="16.149999999999999"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6</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Blackthorn scrub</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60">
      <c r="A69" s="89"/>
      <c r="B69" s="264">
        <v>2</v>
      </c>
      <c r="C69" s="119" t="str">
        <f t="shared" si="11"/>
        <v>Heathland and shrub</v>
      </c>
      <c r="D69" s="208" t="str">
        <f t="shared" ref="D69:D87" si="42">IF(OR(K12=0, K12=""),"",D12)</f>
        <v>Bramble scrub</v>
      </c>
      <c r="E69" s="166" t="str">
        <f t="shared" si="12"/>
        <v>Distinctiveness</v>
      </c>
      <c r="F69" s="672" t="s">
        <v>314</v>
      </c>
      <c r="G69" s="673"/>
      <c r="H69" s="163" t="str">
        <f t="shared" si="13"/>
        <v>Area/compensation not in local strategy/ no local strategy</v>
      </c>
      <c r="I69" s="321">
        <f t="shared" ref="I69:I87" si="43">IF(OR(K12="", K12=0),"",K12)</f>
        <v>600</v>
      </c>
      <c r="J69" s="678" t="str">
        <f>IFERROR(IF(F69="","",VLOOKUP(F69,'10. Condition and Temporal'!$B$6:$F$103,5,FALSE)), "Error ▲")</f>
        <v>Good</v>
      </c>
      <c r="K69" s="679"/>
      <c r="L69" s="283">
        <f t="shared" ref="L69:L87" si="44">IFERROR(IF(D69="","",IF(AX69="Distinctiveness",(((((I69*AH69*AJ69)-(I69*V69*X69))*(AV69*AT69))+(I69*V69*X69))*(AP69))/10000,((((I69*AJ69*AH69)-(I69*V69*X69))*(AV69*AR69))+(I69*V69*X69))*AP69/10000)),"Error ▲")</f>
        <v>0.57613549161599997</v>
      </c>
      <c r="M69" s="688">
        <f t="shared" ref="M69:M87" si="45">IFERROR(IF(F69="","",L69-AD69), "Error ▲")</f>
        <v>0.33613549161599998</v>
      </c>
      <c r="N69" s="689"/>
      <c r="O69" s="74"/>
      <c r="P69" s="12"/>
      <c r="R69" s="654"/>
      <c r="T69" s="177">
        <f t="shared" si="14"/>
        <v>600</v>
      </c>
      <c r="U69" s="114" t="str">
        <f t="shared" ref="U69:U87" si="46">IF($D69="","",T12)</f>
        <v>Medium</v>
      </c>
      <c r="V69" s="94">
        <f t="shared" si="15"/>
        <v>4</v>
      </c>
      <c r="W69" s="93" t="str">
        <f t="shared" si="15"/>
        <v>Condition Assessment N/A</v>
      </c>
      <c r="X69" s="94">
        <f t="shared" si="15"/>
        <v>1</v>
      </c>
      <c r="Y69" s="372"/>
      <c r="Z69" s="343"/>
      <c r="AA69" s="507"/>
      <c r="AB69" s="93" t="str">
        <f t="shared" si="16"/>
        <v>Area/compensation not in local strategy/ no local strategy</v>
      </c>
      <c r="AC69" s="115">
        <f t="shared" si="17"/>
        <v>1</v>
      </c>
      <c r="AD69" s="177">
        <f>IF(AC69="","",(T69*V69*X69)*AC69/10000)</f>
        <v>0.24</v>
      </c>
      <c r="AE69" s="177" t="str">
        <f t="shared" ref="AE69:AE87" si="47">IF(AD69="","",IF(AH69&lt;V69,"Not Acceptable","Acceptable"))</f>
        <v>Acceptable</v>
      </c>
      <c r="AF69" s="511">
        <f t="shared" si="18"/>
        <v>600</v>
      </c>
      <c r="AG69" s="114" t="str">
        <f>IF(D69="","",VLOOKUP(F69,'9. All Habitats + Multipliers'!$C$4:$K$102,5,FALSE))</f>
        <v>Medium</v>
      </c>
      <c r="AH69" s="344">
        <f>IF(AG69="","",VLOOKUP(AG69,'11. Lists'!$B$47:$D$49,2,FALSE))</f>
        <v>4</v>
      </c>
      <c r="AI69" s="93" t="str">
        <f t="shared" si="19"/>
        <v>Good</v>
      </c>
      <c r="AJ69" s="94">
        <f>IF(AI69="","",VLOOKUP(AI69,'11. Lists'!$F$47:$G$51,2,FALSE))</f>
        <v>3</v>
      </c>
      <c r="AK69" s="372"/>
      <c r="AL69" s="343"/>
      <c r="AM69" s="507"/>
      <c r="AN69" s="93" t="str">
        <f t="shared" si="20"/>
        <v>Area/compensation not in local strategy/ no local strategy</v>
      </c>
      <c r="AO69" s="95" t="str">
        <f>IF(AN69="","",VLOOKUP(AN69,'11. Lists'!$F$36:$H$38,2,FALSE))</f>
        <v>Low Strategic Significance</v>
      </c>
      <c r="AP69" s="94">
        <f>IF(AN69="","",VLOOKUP(AN69,'11. Lists'!$F$36:$H$38,3,FALSE))</f>
        <v>1</v>
      </c>
      <c r="AQ69" s="114" t="str">
        <f>IF(D69="","",IF(AX69="Distinctiveness","N/A",VLOOKUP(F69,'10. Condition and Temporal'!$B$6:$L$103,11,FALSE)))</f>
        <v>N/A</v>
      </c>
      <c r="AR69" s="118" t="str">
        <f>IF(AQ69="","",IF(AQ69="N/A","1",VLOOKUP(AQ69,'11. Lists'!$I$47:$K$80,3,FALSE)))</f>
        <v>1</v>
      </c>
      <c r="AS69" s="524">
        <f>IF(D69="","",IF(AX69="Condition","N/A",VLOOKUP(F69,'10. Condition and Temporal'!$B$6:$M$106,12,FALSE)))</f>
        <v>10</v>
      </c>
      <c r="AT69" s="118">
        <f>IF(AS69="","",IF(AS69="N/A","1",VLOOKUP(AS69,'11. Lists'!$I$47:$K$80,3,FALSE)))</f>
        <v>0.70028227419999989</v>
      </c>
      <c r="AU69" s="114" t="str">
        <f>IF(D69="","",VLOOKUP(F69,'9. All Habitats + Multipliers'!$C$4:$K$102,8,FALSE))</f>
        <v>Low</v>
      </c>
      <c r="AV69" s="115">
        <f>IF(AU69="","",VLOOKUP(AU69,'11. Lists'!$J$35:$K$38,2,FALSE))</f>
        <v>1</v>
      </c>
      <c r="AW69" s="177" t="str">
        <f>IF(D69="","",VLOOKUP(D69,'10. Condition and Temporal'!$B$6:$M$103,4,FALSE))</f>
        <v>Blackthorn scrub, Gorse scrub, Hawthorn scrub, Hazel scrub, Mixed scrub, Willow scrub</v>
      </c>
      <c r="AX69" s="177" t="str">
        <f t="shared" si="21"/>
        <v>Distinctiveness</v>
      </c>
      <c r="AY69" s="463" t="str">
        <f t="shared" ref="AY69:AY87" si="48">IF(COUNTIF(F69,"*grassland*"),"Grassland",IF(COUNTIF(F69,"*scree*"),"Sparsely vegetated land",C69))</f>
        <v>Heathland and shrub</v>
      </c>
      <c r="BA69" s="93">
        <v>2</v>
      </c>
      <c r="BB69" s="95" t="str">
        <f t="shared" si="22"/>
        <v/>
      </c>
      <c r="BC69" s="95" t="str">
        <f t="shared" si="23"/>
        <v>Gorse scrub</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BC68:BC73</v>
      </c>
      <c r="BW69" s="95" t="s">
        <v>155</v>
      </c>
      <c r="BX69" s="95">
        <f>BC66</f>
        <v>6</v>
      </c>
    </row>
    <row r="70" spans="1:76" s="25" customFormat="1" ht="15.7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Hawthorn scrub</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Hazel scrub</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Mixed scrub</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Willow scrub</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600</v>
      </c>
      <c r="J89" s="218"/>
      <c r="K89" s="216"/>
      <c r="L89" s="284">
        <f>SUM(L68:L88)</f>
        <v>0.57613549161599997</v>
      </c>
      <c r="M89" s="700">
        <f>SUM(M68:N88)</f>
        <v>0.33613549161599998</v>
      </c>
      <c r="N89" s="697"/>
      <c r="R89" s="654"/>
    </row>
    <row r="90" spans="1:76" s="25" customFormat="1">
      <c r="C90" s="26"/>
      <c r="R90" s="654"/>
    </row>
    <row r="91" spans="1:76" s="25" customFormat="1" ht="21">
      <c r="B91" s="57" t="s">
        <v>174</v>
      </c>
      <c r="R91" s="654"/>
    </row>
    <row r="92" spans="1:76" s="25" customFormat="1" ht="15.7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 customHeight="1">
      <c r="B95" s="745" t="s">
        <v>183</v>
      </c>
      <c r="C95" s="746"/>
      <c r="D95" s="155"/>
      <c r="E95" s="703"/>
      <c r="F95" s="704"/>
      <c r="G95" s="852"/>
      <c r="H95" s="853"/>
      <c r="I95" s="693">
        <f>D95*'11. Lists'!P47</f>
        <v>0</v>
      </c>
      <c r="J95" s="694"/>
      <c r="K95" s="695"/>
      <c r="L95" s="657">
        <f>IF(E95&gt;D95, "Error ▲", E95*'11. Lists'!P47)</f>
        <v>0</v>
      </c>
      <c r="M95" s="694"/>
      <c r="N95" s="695"/>
      <c r="O95" s="657">
        <f>G95*'11. Lists'!P47</f>
        <v>0</v>
      </c>
      <c r="P95" s="658"/>
      <c r="R95" s="654"/>
    </row>
    <row r="96" spans="1:76" s="25" customFormat="1" ht="24.6"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 customHeight="1" thickBot="1">
      <c r="B99" s="645" t="s">
        <v>187</v>
      </c>
      <c r="C99" s="738"/>
      <c r="D99" s="285">
        <f>SUM(D95:D98)</f>
        <v>0</v>
      </c>
      <c r="E99" s="655">
        <f>SUM(E95:F98)</f>
        <v>0</v>
      </c>
      <c r="F99" s="708"/>
      <c r="G99" s="655">
        <f>SUM(G95:H98)</f>
        <v>0</v>
      </c>
      <c r="H99" s="656"/>
      <c r="I99" s="708">
        <f>SUM(I95:K98)</f>
        <v>0</v>
      </c>
      <c r="J99" s="707"/>
      <c r="K99" s="707"/>
      <c r="L99" s="707">
        <f>SUM(L95:N98)</f>
        <v>0</v>
      </c>
      <c r="M99" s="707"/>
      <c r="N99" s="707"/>
      <c r="O99" s="655">
        <f>SUM(O95:P98)</f>
        <v>0</v>
      </c>
      <c r="P99" s="656"/>
      <c r="R99" s="654"/>
    </row>
    <row r="100" spans="1:18" s="25" customFormat="1" ht="19.149999999999999"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75" thickBot="1">
      <c r="R107" s="654"/>
    </row>
    <row r="108" spans="1:18" s="25" customFormat="1" ht="36.6"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75" thickBot="1">
      <c r="R112" s="654"/>
    </row>
    <row r="113" spans="2:18" s="25" customFormat="1" ht="36.6" customHeight="1">
      <c r="B113" s="792" t="s">
        <v>193</v>
      </c>
      <c r="C113" s="793"/>
      <c r="D113" s="793"/>
      <c r="E113" s="212" t="s">
        <v>194</v>
      </c>
      <c r="F113" s="212" t="s">
        <v>195</v>
      </c>
      <c r="G113" s="212" t="s">
        <v>196</v>
      </c>
      <c r="H113" s="212" t="s">
        <v>197</v>
      </c>
      <c r="I113" s="120" t="s">
        <v>198</v>
      </c>
      <c r="J113" s="430"/>
      <c r="R113" s="654"/>
    </row>
    <row r="114" spans="2:18" s="25" customFormat="1" ht="15.6"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 customHeight="1">
      <c r="B116" s="794" t="s">
        <v>203</v>
      </c>
      <c r="C116" s="795"/>
      <c r="D116" s="79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4"/>
    </row>
    <row r="117" spans="2:18" s="25" customFormat="1" ht="15.6"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 customHeight="1">
      <c r="B119" s="797"/>
      <c r="C119" s="798"/>
      <c r="D119" s="799"/>
      <c r="E119" s="124" t="s">
        <v>202</v>
      </c>
      <c r="F119" s="122">
        <f>SUMIFS($L$11:$L$30,$C$11:$C$30,$B118,$T$11:$T$30,$E119)</f>
        <v>0.24</v>
      </c>
      <c r="G119" s="122">
        <f>SUMIFS($L$40:$L$59,$C$40:$C$59,$B118,$T$40:$T$59,$E119)+SUMIFS($L$68:$L$87,$C$68:$C$87,B118,$AG$68:$AG$87,E119)+SUMIFS($AE$11:$AE$31,$C$11:$C$31,B118,$T$11:$T$31,E119)</f>
        <v>0.57613549161599997</v>
      </c>
      <c r="H119" s="122">
        <f t="shared" si="54"/>
        <v>0.33613549161599998</v>
      </c>
      <c r="I119" s="125" t="str">
        <f>IF(F119=0,"N/A",IF(H119&lt;0,"No ▲","Yes ✓"))</f>
        <v>Yes ✓</v>
      </c>
      <c r="J119" s="157">
        <f>IF(I119="No ▲",1,0)</f>
        <v>0</v>
      </c>
      <c r="R119" s="654"/>
    </row>
    <row r="120" spans="2:18" s="25" customFormat="1" ht="15.6"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 customHeight="1">
      <c r="B128" s="794" t="s">
        <v>209</v>
      </c>
      <c r="C128" s="795"/>
      <c r="D128" s="79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4"/>
    </row>
    <row r="129" spans="2:18" s="25" customFormat="1" ht="15.6"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 customHeight="1" thickBot="1">
      <c r="B135" s="811"/>
      <c r="C135" s="812"/>
      <c r="D135" s="813"/>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54"/>
    </row>
    <row r="136" spans="2:18" s="25" customFormat="1" ht="15.6" customHeight="1" thickBot="1">
      <c r="J136" s="157"/>
      <c r="M136" s="26"/>
      <c r="R136" s="654"/>
    </row>
    <row r="137" spans="2:18" s="25" customFormat="1" ht="37.5">
      <c r="B137" s="740" t="s">
        <v>194</v>
      </c>
      <c r="C137" s="741"/>
      <c r="D137" s="741"/>
      <c r="E137" s="742"/>
      <c r="F137" s="126" t="s">
        <v>195</v>
      </c>
      <c r="G137" s="126" t="s">
        <v>196</v>
      </c>
      <c r="H137" s="126" t="s">
        <v>197</v>
      </c>
      <c r="I137" s="127" t="s">
        <v>198</v>
      </c>
      <c r="J137" s="157"/>
      <c r="M137" s="26"/>
      <c r="R137" s="654"/>
    </row>
    <row r="138" spans="2:18" s="25" customFormat="1" ht="30.6" customHeight="1">
      <c r="B138" s="803" t="s">
        <v>212</v>
      </c>
      <c r="C138" s="804"/>
      <c r="D138" s="804"/>
      <c r="E138" s="805"/>
      <c r="F138" s="122">
        <f>SUMIFS($L$11:$L$31,$T$11:$T$31,"Medium")</f>
        <v>0.24</v>
      </c>
      <c r="G138" s="156">
        <f>IF(L61+L89+P1=0,0,SUMIFS($L$40:$L$60,$T$40:$T$60,"Medium")+SUMIFS($L$68:$L$87,$AG$68:$AG$87,"Medium")+SUMIFS($AE$11:$AE$31,$T$11:$T$31,"Medium"))</f>
        <v>0.57613549161599997</v>
      </c>
      <c r="H138" s="122">
        <f>IFERROR(G138-F138,"")</f>
        <v>0.33613549161599998</v>
      </c>
      <c r="I138" s="329" t="str">
        <f>IF(G138="","",IF(H138&gt;=0,"Yes ✓","No ▲"))</f>
        <v>Yes ✓</v>
      </c>
      <c r="J138" s="157">
        <f t="shared" si="55"/>
        <v>0</v>
      </c>
      <c r="R138" s="654" t="s">
        <v>52</v>
      </c>
    </row>
    <row r="139" spans="2:18" s="25" customFormat="1" ht="30.6" customHeight="1">
      <c r="B139" s="803" t="s">
        <v>213</v>
      </c>
      <c r="C139" s="804"/>
      <c r="D139" s="804"/>
      <c r="E139" s="805"/>
      <c r="F139" s="122">
        <f>SUMIFS($L$11:$L$31,$T$11:$T$31,"Low")</f>
        <v>0</v>
      </c>
      <c r="G139" s="156">
        <f>IF(L61+L89+P1=0,0,SUMIFS($L$40:$L$60,$T$40:$T$60,"Low")+SUMIFS($L$68:$L$88,$AG$68:$AG$88,"Low")+SUMIFS($AE$11:$AE$31,$T$11:$T$31,"Low"))</f>
        <v>0</v>
      </c>
      <c r="H139" s="122">
        <f>IFERROR(G139-F139,"")</f>
        <v>0</v>
      </c>
      <c r="I139" s="329" t="str">
        <f>IF($I$142&gt;=0,"Yes ✓","No ▲")</f>
        <v>Yes ✓</v>
      </c>
      <c r="J139" s="157">
        <f t="shared" si="55"/>
        <v>0</v>
      </c>
      <c r="R139" s="654"/>
    </row>
    <row r="140" spans="2:18" s="25" customFormat="1" ht="41.25" customHeight="1" thickBot="1">
      <c r="B140" s="806" t="s">
        <v>214</v>
      </c>
      <c r="C140" s="807"/>
      <c r="D140" s="807"/>
      <c r="E140" s="808"/>
      <c r="F140" s="800">
        <f>IFERROR(H138+H139,"")</f>
        <v>0.33613549161599998</v>
      </c>
      <c r="G140" s="801"/>
      <c r="H140" s="802"/>
      <c r="I140" s="330" t="str">
        <f>IF(F140="","",IF(F140&gt;=0,"Yes ✓","No ▲"))</f>
        <v>Yes ✓</v>
      </c>
      <c r="J140" s="157">
        <f t="shared" si="55"/>
        <v>0</v>
      </c>
      <c r="R140" s="654"/>
    </row>
    <row r="141" spans="2:18" s="25" customFormat="1">
      <c r="R141" s="654"/>
    </row>
    <row r="142" spans="2:18" s="25" customFormat="1">
      <c r="I142" s="434">
        <f>IF($H$138&gt;0,($H$139+$H$138),$H$139)</f>
        <v>0.33613549161599998</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899999999999999" customHeight="1">
      <c r="B2" s="80" t="s">
        <v>53</v>
      </c>
      <c r="C2" s="828" t="str">
        <f>IF('2. Site Details'!D4="","Enter site name on 2. Site Details",'2. Site Details'!D4)</f>
        <v>ARBORFIELD A</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899999999999999" customHeight="1" thickBot="1">
      <c r="B3" s="82" t="s">
        <v>13</v>
      </c>
      <c r="C3" s="830" t="s">
        <v>216</v>
      </c>
      <c r="D3" s="831"/>
      <c r="F3" s="776"/>
      <c r="G3" s="777"/>
      <c r="H3" s="778"/>
      <c r="I3" s="52"/>
      <c r="J3" s="787"/>
      <c r="K3" s="787"/>
      <c r="L3" s="787"/>
      <c r="M3" s="787"/>
      <c r="N3" s="81"/>
      <c r="O3" s="83" t="s">
        <v>57</v>
      </c>
      <c r="P3" s="277">
        <f>IFERROR(L59, "Error ▲")</f>
        <v>0</v>
      </c>
      <c r="R3" s="654"/>
      <c r="T3" s="26"/>
    </row>
    <row r="4" spans="1:35" s="25" customFormat="1" ht="19.899999999999999" customHeight="1">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c r="A5" s="85"/>
      <c r="F5" s="776"/>
      <c r="G5" s="777"/>
      <c r="H5" s="778"/>
      <c r="I5" s="52"/>
      <c r="J5" s="787"/>
      <c r="K5" s="787"/>
      <c r="L5" s="787"/>
      <c r="M5" s="787"/>
      <c r="N5" s="81"/>
      <c r="O5" s="86" t="s">
        <v>59</v>
      </c>
      <c r="P5" s="278">
        <f>IFERROR(P1+L59+L86-L31, "Error ▲")</f>
        <v>0</v>
      </c>
      <c r="R5" s="654"/>
      <c r="T5" s="26"/>
    </row>
    <row r="6" spans="1:35" s="25" customFormat="1" ht="13.15" customHeight="1" thickBot="1">
      <c r="A6" s="85"/>
      <c r="F6" s="779"/>
      <c r="G6" s="780"/>
      <c r="H6" s="781"/>
      <c r="I6" s="52"/>
      <c r="J6" s="52"/>
      <c r="K6" s="52"/>
      <c r="L6" s="52"/>
      <c r="M6" s="52"/>
      <c r="N6" s="52"/>
      <c r="O6" s="87"/>
      <c r="P6" s="87"/>
      <c r="R6" s="654"/>
      <c r="T6" s="26"/>
    </row>
    <row r="7" spans="1:35" s="25" customFormat="1" ht="19.149999999999999" customHeight="1">
      <c r="B7" s="57" t="s">
        <v>60</v>
      </c>
      <c r="D7" s="88"/>
      <c r="H7" s="26"/>
      <c r="K7" s="26"/>
      <c r="L7" s="30"/>
      <c r="M7" s="30"/>
      <c r="N7" s="30"/>
      <c r="R7" s="654"/>
      <c r="T7" s="26"/>
    </row>
    <row r="8" spans="1:35" s="25" customFormat="1" ht="10.9" customHeight="1" thickBot="1">
      <c r="A8" s="89"/>
      <c r="R8" s="654"/>
    </row>
    <row r="9" spans="1:35" s="25" customFormat="1" ht="29.4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450000000000003"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30">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7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149999999999999"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2.25"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818">
        <f>SUM(I39:K58)</f>
        <v>0</v>
      </c>
      <c r="J59" s="819"/>
      <c r="K59" s="820"/>
      <c r="L59" s="864">
        <f>SUM(L39:N58)</f>
        <v>0</v>
      </c>
      <c r="M59" s="928"/>
      <c r="N59" s="865"/>
      <c r="R59" s="654"/>
    </row>
    <row r="60" spans="1:73" s="25" customFormat="1" ht="15.7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75" thickBot="1">
      <c r="A63" s="879"/>
      <c r="R63" s="654"/>
    </row>
    <row r="64" spans="1:73" s="25" customFormat="1" ht="16.149999999999999"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149999999999999"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75" thickBot="1">
      <c r="R96" s="654"/>
    </row>
    <row r="97" spans="2:18" s="25" customFormat="1" ht="36.6"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7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si="52"/>
        <v>0</v>
      </c>
      <c r="G105" s="433">
        <f ca="1">$F$105-$E$105</f>
        <v>0</v>
      </c>
      <c r="H105" s="857"/>
      <c r="I105" s="430"/>
      <c r="R105" s="654"/>
    </row>
    <row r="106" spans="2:18" s="25" customFormat="1" ht="30.75" customHeight="1">
      <c r="B106" s="920"/>
      <c r="C106" s="923"/>
      <c r="D106" s="432" t="s">
        <v>233</v>
      </c>
      <c r="E106" s="433">
        <f t="shared" ca="1" si="51"/>
        <v>0</v>
      </c>
      <c r="F106" s="433">
        <f t="shared" si="52"/>
        <v>0</v>
      </c>
      <c r="G106" s="433">
        <f ca="1">$F$106-$E$106</f>
        <v>0</v>
      </c>
      <c r="H106" s="857"/>
      <c r="I106" s="430"/>
      <c r="R106" s="654"/>
    </row>
    <row r="107" spans="2:18" s="25" customFormat="1" ht="30.75" customHeight="1">
      <c r="B107" s="920"/>
      <c r="C107" s="923"/>
      <c r="D107" s="432" t="s">
        <v>234</v>
      </c>
      <c r="E107" s="433">
        <f t="shared" ca="1" si="51"/>
        <v>0</v>
      </c>
      <c r="F107" s="433">
        <f t="shared" si="52"/>
        <v>0</v>
      </c>
      <c r="G107" s="433">
        <f ca="1">$F$107-$E$107</f>
        <v>0</v>
      </c>
      <c r="H107" s="857"/>
      <c r="I107" s="157"/>
      <c r="R107" s="654"/>
    </row>
    <row r="108" spans="2:18" s="25" customFormat="1" ht="30.75" customHeight="1" thickBot="1">
      <c r="B108" s="920"/>
      <c r="C108" s="924"/>
      <c r="D108" s="444" t="s">
        <v>235</v>
      </c>
      <c r="E108" s="445">
        <f ca="1">SUM($E$103:$E$107)</f>
        <v>0</v>
      </c>
      <c r="F108" s="445">
        <f>SUM($F$103:$F$107)</f>
        <v>0</v>
      </c>
      <c r="G108" s="445">
        <f ca="1">SUM($G$103:$G$107)</f>
        <v>0</v>
      </c>
      <c r="H108" s="858"/>
      <c r="I108" s="157">
        <f ca="1">IF($H$103="No ▲",1,0)</f>
        <v>0</v>
      </c>
      <c r="R108" s="654"/>
    </row>
    <row r="109" spans="2:18" s="25" customFormat="1" ht="30.75" customHeight="1">
      <c r="B109" s="920"/>
      <c r="C109" s="922" t="s">
        <v>200</v>
      </c>
      <c r="D109" s="452" t="s">
        <v>236</v>
      </c>
      <c r="E109" s="453">
        <f t="shared" ca="1" si="51"/>
        <v>0</v>
      </c>
      <c r="F109" s="453">
        <f t="shared" si="52"/>
        <v>0</v>
      </c>
      <c r="G109" s="453">
        <f ca="1">$F$109-$E$109</f>
        <v>0</v>
      </c>
      <c r="H109" s="856" t="str">
        <f ca="1">IF(G112&gt;=0,"Yes ✓",IF(E114&gt;=0,"Yes ✓","No ▲"))</f>
        <v>Yes ✓</v>
      </c>
      <c r="I109" s="157"/>
      <c r="R109" s="654"/>
    </row>
    <row r="110" spans="2:18" s="25" customFormat="1" ht="30.75" customHeight="1">
      <c r="B110" s="920"/>
      <c r="C110" s="923"/>
      <c r="D110" s="432" t="s">
        <v>237</v>
      </c>
      <c r="E110" s="433">
        <f t="shared" ca="1" si="51"/>
        <v>0</v>
      </c>
      <c r="F110" s="433">
        <f t="shared" si="52"/>
        <v>0</v>
      </c>
      <c r="G110" s="433">
        <f ca="1">$F$110-$E$110</f>
        <v>0</v>
      </c>
      <c r="H110" s="857"/>
      <c r="I110" s="157"/>
      <c r="R110" s="654"/>
    </row>
    <row r="111" spans="2:18" s="25" customFormat="1" ht="30.75" customHeight="1">
      <c r="B111" s="920"/>
      <c r="C111" s="923"/>
      <c r="D111" s="432" t="s">
        <v>238</v>
      </c>
      <c r="E111" s="433">
        <f t="shared" ca="1" si="51"/>
        <v>0</v>
      </c>
      <c r="F111" s="433">
        <f t="shared" si="52"/>
        <v>0</v>
      </c>
      <c r="G111" s="433">
        <f ca="1">$F$111-$E$111</f>
        <v>0</v>
      </c>
      <c r="H111" s="857"/>
      <c r="I111" s="157"/>
      <c r="R111" s="654"/>
    </row>
    <row r="112" spans="2:18" s="25" customFormat="1" ht="30.75" customHeight="1" thickBot="1">
      <c r="B112" s="920"/>
      <c r="C112" s="924"/>
      <c r="D112" s="444" t="s">
        <v>235</v>
      </c>
      <c r="E112" s="445">
        <f ca="1">SUM($E$109:$E$111)</f>
        <v>0</v>
      </c>
      <c r="F112" s="445">
        <f>SUM($F$109:$F$111)</f>
        <v>0</v>
      </c>
      <c r="G112" s="445">
        <f ca="1">SUM($G$109:$G$111)</f>
        <v>0</v>
      </c>
      <c r="H112" s="858"/>
      <c r="I112" s="157">
        <f ca="1">IF($H$109="No ▲",1,0)</f>
        <v>0</v>
      </c>
      <c r="R112" s="654"/>
    </row>
    <row r="113" spans="2:18" s="25" customFormat="1" ht="30.75" customHeight="1" thickBot="1">
      <c r="B113" s="921"/>
      <c r="C113" s="446" t="s">
        <v>239</v>
      </c>
      <c r="D113" s="454" t="s">
        <v>240</v>
      </c>
      <c r="E113" s="455">
        <f t="shared" ca="1" si="51"/>
        <v>0</v>
      </c>
      <c r="F113" s="455">
        <f t="shared" si="52"/>
        <v>0</v>
      </c>
      <c r="G113" s="455">
        <f ca="1">$F$113-$E$113</f>
        <v>0</v>
      </c>
      <c r="H113" s="449" t="str">
        <f ca="1">IF(G113&gt;=0,"Yes✓",IF(F114&gt;=0,"Yes ✓","No ▲"))</f>
        <v>Yes✓</v>
      </c>
      <c r="I113" s="157">
        <f ca="1">IF($H$113="No ▲",1,0)</f>
        <v>0</v>
      </c>
      <c r="R113" s="654"/>
    </row>
    <row r="114" spans="2:18" s="25" customFormat="1" ht="15.75" thickBot="1">
      <c r="E114" s="457">
        <f ca="1">G108+G112</f>
        <v>0</v>
      </c>
      <c r="F114" s="434">
        <f ca="1">IF(G108&lt;0,0,($G$108+$G$112+$G$113))</f>
        <v>0</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v>
      </c>
      <c r="G116" s="434">
        <f ca="1">IF($G$108&lt;=0,0,($G$108+$G$112+$G$113))</f>
        <v>0</v>
      </c>
      <c r="R116" s="654"/>
    </row>
    <row r="117" spans="2:18" s="25" customFormat="1" ht="24" customHeight="1" thickBot="1">
      <c r="B117" s="918" t="s">
        <v>243</v>
      </c>
      <c r="C117" s="636"/>
      <c r="D117" s="636"/>
      <c r="E117" s="636"/>
      <c r="F117" s="438">
        <f ca="1">IF($F$116&gt;0,($F$116+$G$113),$G$113)</f>
        <v>0</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c r="B2" s="80" t="s">
        <v>53</v>
      </c>
      <c r="C2" s="828" t="str">
        <f>IF('2. Site Details'!D4="","Enter site name on 2. Site Details",'2. Site Details'!D4)</f>
        <v>ARBORFIELD A</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c r="B7" s="57" t="s">
        <v>60</v>
      </c>
      <c r="D7" s="88"/>
      <c r="H7" s="26"/>
      <c r="K7" s="26"/>
      <c r="L7" s="496"/>
      <c r="M7" s="30"/>
      <c r="N7" s="30"/>
      <c r="R7" s="654"/>
      <c r="T7" s="26"/>
      <c r="AJ7" s="157"/>
      <c r="AK7" s="157"/>
      <c r="AL7" s="157"/>
      <c r="AM7" s="157"/>
      <c r="AN7" s="157"/>
      <c r="AR7" s="157"/>
    </row>
    <row r="8" spans="1:44" s="25" customFormat="1" ht="10.9" customHeight="1" thickBot="1">
      <c r="A8" s="89"/>
      <c r="R8" s="654"/>
      <c r="AJ8" s="157"/>
      <c r="AK8" s="157"/>
      <c r="AL8" s="157"/>
      <c r="AM8" s="157"/>
      <c r="AN8" s="157"/>
      <c r="AR8" s="157"/>
    </row>
    <row r="9" spans="1:44" s="25" customFormat="1" ht="29.4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2.25"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75">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7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149999999999999"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2.25"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75">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75" thickBot="1">
      <c r="A63" s="879"/>
      <c r="R63" s="654"/>
      <c r="AJ63" s="157"/>
      <c r="AK63" s="157"/>
      <c r="AL63" s="157"/>
      <c r="AM63" s="157"/>
      <c r="AN63" s="157"/>
      <c r="BA63" s="929" t="s">
        <v>129</v>
      </c>
    </row>
    <row r="64" spans="1:73" s="25" customFormat="1" ht="16.149999999999999"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149999999999999"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75" thickBot="1">
      <c r="R96" s="654"/>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7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75">
      <c r="C108" s="828" t="s">
        <v>259</v>
      </c>
      <c r="D108" s="976"/>
      <c r="E108" s="976"/>
      <c r="F108" s="976"/>
      <c r="G108" s="437">
        <f ca="1">$H$105</f>
        <v>0</v>
      </c>
      <c r="H108" s="431"/>
      <c r="J108" s="430"/>
      <c r="R108" s="654"/>
      <c r="AJ108" s="157"/>
      <c r="AK108" s="157"/>
      <c r="AL108" s="157"/>
      <c r="AM108" s="157"/>
      <c r="AN108" s="157"/>
    </row>
    <row r="109" spans="3:40" s="25" customFormat="1" ht="19.5"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ARBORFIELD A</v>
      </c>
      <c r="E2" s="639"/>
      <c r="F2" s="497"/>
      <c r="G2" s="52"/>
      <c r="H2" s="52"/>
      <c r="I2" s="52"/>
      <c r="J2" s="52"/>
      <c r="K2" s="52"/>
      <c r="L2" s="52"/>
      <c r="M2" s="52"/>
      <c r="N2" s="52"/>
      <c r="O2" s="52"/>
      <c r="P2" s="52"/>
      <c r="Q2" s="52"/>
      <c r="R2" s="52"/>
      <c r="S2" s="52"/>
      <c r="T2" s="52"/>
      <c r="U2" s="52"/>
      <c r="V2" s="52"/>
      <c r="W2" s="52"/>
      <c r="X2" s="25"/>
    </row>
    <row r="3" spans="1:24" ht="24.6"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2"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2" t="s">
        <v>263</v>
      </c>
      <c r="C7" s="633"/>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2"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0.24</v>
      </c>
      <c r="E11" s="485"/>
      <c r="F11" s="491">
        <f>('2. Site Details'!$D$13/100)*$D$11</f>
        <v>2.4E-2</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0.57613549161599997</v>
      </c>
      <c r="E15" s="485"/>
      <c r="F15" s="492">
        <f>D11+F11</f>
        <v>0.26400000000000001</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0.33613549161599998</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2" t="s">
        <v>273</v>
      </c>
      <c r="C23" s="529" t="s">
        <v>1046</v>
      </c>
      <c r="D23" s="538">
        <f>IF(D11="Zero Units Baseline","% target not appropriate",D19/D11)</f>
        <v>1.4005645484</v>
      </c>
      <c r="E23" s="539" t="str" cm="1">
        <f t="array" ref="E23">_xlfn.IFS(D23&gt;=F19,"✓",D23&lt;0,"▲", D23&lt;F19,"⚠")</f>
        <v>✓</v>
      </c>
      <c r="F23" s="491">
        <f>$D$23*100</f>
        <v>140.05645483999999</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0.24</v>
      </c>
      <c r="D36" s="51">
        <f>D15</f>
        <v>0.57613549161599997</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749"/>
      <c r="E3" s="750"/>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 hc</cp:lastModifiedBy>
  <cp:revision/>
  <dcterms:created xsi:type="dcterms:W3CDTF">2020-09-14T13:04:31Z</dcterms:created>
  <dcterms:modified xsi:type="dcterms:W3CDTF">2026-03-23T20:50:06Z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